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darrenxia/Desktop/Cornell/Internships &amp; Projects/2023.10-2024.06 Cut Flower Pricing Calculator/Cut Flower Pricing Calculator_8:8:"/>
    </mc:Choice>
  </mc:AlternateContent>
  <xr:revisionPtr revIDLastSave="0" documentId="13_ncr:1_{E3C4E696-D1CB-D44E-8F76-02FD562F9219}" xr6:coauthVersionLast="47" xr6:coauthVersionMax="47" xr10:uidLastSave="{00000000-0000-0000-0000-000000000000}"/>
  <bookViews>
    <workbookView xWindow="0" yWindow="500" windowWidth="32000" windowHeight="15940" tabRatio="841" activeTab="2" xr2:uid="{00000000-000D-0000-FFFF-FFFF00000000}"/>
  </bookViews>
  <sheets>
    <sheet name="Welcome" sheetId="101" r:id="rId1"/>
    <sheet name="Describe Your Farm" sheetId="152" r:id="rId2"/>
    <sheet name=" Labor Overheads" sheetId="142" r:id="rId3"/>
    <sheet name="Cash Overheads" sheetId="10" r:id="rId4"/>
    <sheet name="Depreciation Overheads" sheetId="11" r:id="rId5"/>
    <sheet name="Cut Flower 1" sheetId="13" r:id="rId6"/>
    <sheet name="Project Income" sheetId="5" r:id="rId7"/>
    <sheet name="Project Yield" sheetId="141" r:id="rId8"/>
    <sheet name="Direct Labor Cost" sheetId="8" r:id="rId9"/>
    <sheet name="Direct Material Cost" sheetId="9" r:id="rId10"/>
    <sheet name="Cut Flower 1 Assessment" sheetId="12" r:id="rId11"/>
    <sheet name="Cut Flower 2" sheetId="129" r:id="rId12"/>
    <sheet name="Cut Flower 3" sheetId="155" r:id="rId13"/>
    <sheet name="Cut Flower 4" sheetId="156" r:id="rId14"/>
    <sheet name="Cut Flower 5" sheetId="157" r:id="rId15"/>
    <sheet name="Cut Flower 6" sheetId="158" r:id="rId16"/>
    <sheet name="Cut Flower 7" sheetId="159" r:id="rId17"/>
    <sheet name="Cut Flower 8" sheetId="160" r:id="rId18"/>
    <sheet name="Cut Flower 9" sheetId="161" r:id="rId19"/>
    <sheet name="Cut Flower 10" sheetId="162" r:id="rId20"/>
    <sheet name="All Cut Flowers Assessment" sheetId="14" r:id="rId21"/>
    <sheet name="Business Analysis" sheetId="139" r:id="rId22"/>
    <sheet name="Scenarios Tool" sheetId="140" r:id="rId23"/>
  </sheets>
  <definedNames>
    <definedName name="_xlnm.Print_Area" localSheetId="20">'All Cut Flowers Assessment'!$B$16:$O$42</definedName>
    <definedName name="_xlnm.Print_Area" localSheetId="8">'Direct Labor Cost'!$B$1:$G$60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8" l="1"/>
  <c r="C58" i="162" l="1"/>
  <c r="C58" i="161"/>
  <c r="C58" i="160"/>
  <c r="C58" i="159"/>
  <c r="C58" i="158"/>
  <c r="C58" i="157"/>
  <c r="C58" i="156"/>
  <c r="C58" i="155"/>
  <c r="D54" i="162"/>
  <c r="D54" i="161"/>
  <c r="D54" i="160"/>
  <c r="D54" i="159"/>
  <c r="D54" i="158"/>
  <c r="D54" i="157"/>
  <c r="D54" i="156"/>
  <c r="D54" i="155"/>
  <c r="D54" i="129"/>
  <c r="C58" i="129"/>
  <c r="C12" i="141"/>
  <c r="D8" i="141"/>
  <c r="H27" i="142"/>
  <c r="H25" i="142"/>
  <c r="F8" i="162"/>
  <c r="F15" i="162"/>
  <c r="F22" i="162"/>
  <c r="F26" i="162"/>
  <c r="F30" i="162"/>
  <c r="F34" i="162"/>
  <c r="F38" i="162"/>
  <c r="F42" i="162"/>
  <c r="F8" i="161"/>
  <c r="F15" i="161"/>
  <c r="F22" i="161"/>
  <c r="F26" i="161"/>
  <c r="F30" i="161"/>
  <c r="F34" i="161"/>
  <c r="F38" i="161"/>
  <c r="F42" i="161"/>
  <c r="F8" i="160"/>
  <c r="F15" i="160"/>
  <c r="F22" i="160"/>
  <c r="F26" i="160"/>
  <c r="F30" i="160"/>
  <c r="F34" i="160"/>
  <c r="F38" i="160"/>
  <c r="F42" i="160"/>
  <c r="F8" i="159"/>
  <c r="F15" i="159"/>
  <c r="F22" i="159"/>
  <c r="F26" i="159"/>
  <c r="F30" i="159"/>
  <c r="F34" i="159"/>
  <c r="F38" i="159"/>
  <c r="F42" i="159"/>
  <c r="F42" i="158"/>
  <c r="F38" i="158"/>
  <c r="F34" i="158"/>
  <c r="F30" i="158"/>
  <c r="F26" i="158"/>
  <c r="F22" i="158"/>
  <c r="F15" i="158"/>
  <c r="F8" i="158"/>
  <c r="F42" i="157"/>
  <c r="F38" i="157"/>
  <c r="F34" i="157"/>
  <c r="F30" i="157"/>
  <c r="F26" i="157"/>
  <c r="F22" i="157"/>
  <c r="F15" i="157"/>
  <c r="F8" i="157"/>
  <c r="F8" i="156"/>
  <c r="F15" i="156"/>
  <c r="F22" i="156"/>
  <c r="F26" i="156"/>
  <c r="F30" i="156"/>
  <c r="F34" i="156"/>
  <c r="F38" i="156"/>
  <c r="F42" i="156"/>
  <c r="F8" i="155"/>
  <c r="F15" i="155"/>
  <c r="F22" i="155"/>
  <c r="F26" i="155"/>
  <c r="F30" i="155"/>
  <c r="F34" i="155"/>
  <c r="F38" i="155"/>
  <c r="F42" i="155"/>
  <c r="F42" i="129"/>
  <c r="F38" i="129"/>
  <c r="F34" i="129"/>
  <c r="F30" i="129"/>
  <c r="F26" i="129"/>
  <c r="F22" i="129"/>
  <c r="F15" i="129"/>
  <c r="F8" i="129"/>
  <c r="E8" i="162"/>
  <c r="E15" i="162"/>
  <c r="E22" i="162"/>
  <c r="E26" i="162"/>
  <c r="E30" i="162"/>
  <c r="E34" i="162"/>
  <c r="E38" i="162"/>
  <c r="E42" i="162"/>
  <c r="E8" i="161"/>
  <c r="E15" i="161"/>
  <c r="E22" i="161"/>
  <c r="E26" i="161"/>
  <c r="E30" i="161"/>
  <c r="E34" i="161"/>
  <c r="E38" i="161"/>
  <c r="E42" i="161"/>
  <c r="E8" i="160"/>
  <c r="E15" i="160"/>
  <c r="E22" i="160"/>
  <c r="E26" i="160"/>
  <c r="E30" i="160"/>
  <c r="E34" i="160"/>
  <c r="E38" i="160"/>
  <c r="E42" i="160"/>
  <c r="E42" i="159"/>
  <c r="E38" i="159"/>
  <c r="E34" i="159"/>
  <c r="E30" i="159"/>
  <c r="E26" i="159"/>
  <c r="E22" i="159"/>
  <c r="E15" i="159"/>
  <c r="E8" i="159"/>
  <c r="E8" i="158"/>
  <c r="E15" i="158"/>
  <c r="E22" i="158"/>
  <c r="E26" i="158"/>
  <c r="E30" i="158"/>
  <c r="E34" i="158"/>
  <c r="E38" i="158"/>
  <c r="E42" i="158"/>
  <c r="E42" i="157"/>
  <c r="E38" i="157"/>
  <c r="E34" i="157"/>
  <c r="E30" i="157"/>
  <c r="E26" i="157"/>
  <c r="E22" i="157"/>
  <c r="E15" i="157"/>
  <c r="E8" i="157"/>
  <c r="E42" i="156"/>
  <c r="E38" i="156"/>
  <c r="E34" i="156"/>
  <c r="E30" i="156"/>
  <c r="E26" i="156"/>
  <c r="E22" i="156"/>
  <c r="E15" i="156"/>
  <c r="E8" i="156"/>
  <c r="E8" i="155"/>
  <c r="E15" i="155"/>
  <c r="E22" i="155"/>
  <c r="E26" i="155"/>
  <c r="E30" i="155"/>
  <c r="E34" i="155"/>
  <c r="E38" i="155"/>
  <c r="E42" i="155"/>
  <c r="E8" i="129"/>
  <c r="E15" i="129"/>
  <c r="E22" i="129"/>
  <c r="E26" i="129"/>
  <c r="E30" i="129"/>
  <c r="E34" i="129"/>
  <c r="E38" i="129"/>
  <c r="E42" i="129"/>
  <c r="C42" i="162"/>
  <c r="C38" i="162"/>
  <c r="C34" i="162"/>
  <c r="C30" i="162"/>
  <c r="C26" i="162"/>
  <c r="C22" i="162"/>
  <c r="C15" i="162"/>
  <c r="C8" i="162"/>
  <c r="C42" i="161"/>
  <c r="C38" i="161"/>
  <c r="C34" i="161"/>
  <c r="C30" i="161"/>
  <c r="C26" i="161"/>
  <c r="C22" i="161"/>
  <c r="C15" i="161"/>
  <c r="C8" i="161"/>
  <c r="C42" i="160"/>
  <c r="C38" i="160"/>
  <c r="C34" i="160"/>
  <c r="C30" i="160"/>
  <c r="C26" i="160"/>
  <c r="C22" i="160"/>
  <c r="C15" i="160"/>
  <c r="C8" i="160"/>
  <c r="C42" i="159"/>
  <c r="C38" i="159"/>
  <c r="C34" i="159"/>
  <c r="C30" i="159"/>
  <c r="C26" i="159"/>
  <c r="C22" i="159"/>
  <c r="C15" i="159"/>
  <c r="C8" i="159"/>
  <c r="C42" i="158"/>
  <c r="C38" i="158"/>
  <c r="C34" i="158"/>
  <c r="C30" i="158"/>
  <c r="C26" i="158"/>
  <c r="C22" i="158"/>
  <c r="C15" i="158"/>
  <c r="C8" i="158"/>
  <c r="C42" i="157"/>
  <c r="C38" i="157"/>
  <c r="C34" i="157"/>
  <c r="C30" i="157"/>
  <c r="C26" i="157"/>
  <c r="C22" i="157"/>
  <c r="C15" i="157"/>
  <c r="C8" i="157"/>
  <c r="C42" i="156"/>
  <c r="C38" i="156"/>
  <c r="C34" i="156"/>
  <c r="C30" i="156"/>
  <c r="C26" i="156"/>
  <c r="C22" i="156"/>
  <c r="C15" i="156"/>
  <c r="C8" i="156"/>
  <c r="C42" i="155"/>
  <c r="C38" i="155"/>
  <c r="C34" i="155"/>
  <c r="C30" i="155"/>
  <c r="C26" i="155"/>
  <c r="C22" i="155"/>
  <c r="C15" i="155"/>
  <c r="C8" i="155"/>
  <c r="C42" i="129"/>
  <c r="C38" i="129"/>
  <c r="C34" i="129"/>
  <c r="C30" i="129"/>
  <c r="C26" i="129"/>
  <c r="C22" i="129"/>
  <c r="C15" i="129"/>
  <c r="C8" i="129"/>
  <c r="F42" i="5"/>
  <c r="F38" i="5"/>
  <c r="F34" i="5"/>
  <c r="F30" i="5"/>
  <c r="F26" i="5"/>
  <c r="F22" i="5"/>
  <c r="F15" i="5"/>
  <c r="F8" i="5"/>
  <c r="E42" i="5"/>
  <c r="E38" i="5"/>
  <c r="E34" i="5"/>
  <c r="E30" i="5"/>
  <c r="E26" i="5"/>
  <c r="E22" i="5"/>
  <c r="E15" i="5"/>
  <c r="E8" i="5"/>
  <c r="C42" i="5"/>
  <c r="C38" i="5"/>
  <c r="C34" i="5"/>
  <c r="C30" i="5"/>
  <c r="C26" i="5"/>
  <c r="C22" i="5"/>
  <c r="C15" i="5"/>
  <c r="C8" i="5"/>
  <c r="F77" i="11"/>
  <c r="F78" i="11"/>
  <c r="F79" i="11"/>
  <c r="F80" i="11"/>
  <c r="F76" i="11"/>
  <c r="F73" i="11"/>
  <c r="F72" i="11"/>
  <c r="F68" i="11"/>
  <c r="F69" i="11"/>
  <c r="F67" i="11"/>
  <c r="F53" i="11"/>
  <c r="F54" i="11"/>
  <c r="F55" i="11"/>
  <c r="F56" i="11"/>
  <c r="F57" i="11"/>
  <c r="F58" i="11"/>
  <c r="F59" i="11"/>
  <c r="F60" i="11"/>
  <c r="F61" i="11"/>
  <c r="F62" i="11"/>
  <c r="F63" i="11"/>
  <c r="F64" i="11"/>
  <c r="F52" i="11"/>
  <c r="F47" i="11"/>
  <c r="F48" i="11"/>
  <c r="F49" i="11"/>
  <c r="F46" i="11"/>
  <c r="F39" i="11"/>
  <c r="F40" i="11"/>
  <c r="F41" i="11"/>
  <c r="F42" i="11"/>
  <c r="F43" i="11"/>
  <c r="F38" i="11"/>
  <c r="F31" i="11"/>
  <c r="F32" i="11"/>
  <c r="F33" i="11"/>
  <c r="F34" i="11"/>
  <c r="F35" i="11"/>
  <c r="F30" i="11"/>
  <c r="F24" i="11"/>
  <c r="F25" i="11"/>
  <c r="F26" i="11"/>
  <c r="F27" i="11"/>
  <c r="F23" i="11"/>
  <c r="F15" i="11"/>
  <c r="F16" i="11"/>
  <c r="F17" i="11"/>
  <c r="F18" i="11"/>
  <c r="F19" i="11"/>
  <c r="F20" i="11"/>
  <c r="F14" i="11"/>
  <c r="C50" i="11"/>
  <c r="F65" i="11" l="1"/>
  <c r="H13" i="142" l="1"/>
  <c r="H12" i="142"/>
  <c r="H29" i="140"/>
  <c r="H95" i="140" s="1"/>
  <c r="H30" i="140"/>
  <c r="H96" i="140" s="1"/>
  <c r="K11" i="140"/>
  <c r="K77" i="140" s="1"/>
  <c r="H23" i="140"/>
  <c r="H56" i="140" s="1"/>
  <c r="B116" i="140"/>
  <c r="B105" i="140"/>
  <c r="B94" i="140"/>
  <c r="B83" i="140"/>
  <c r="B72" i="140"/>
  <c r="B61" i="140"/>
  <c r="B50" i="140"/>
  <c r="B39" i="140"/>
  <c r="C113" i="140"/>
  <c r="C102" i="140"/>
  <c r="C91" i="140"/>
  <c r="C80" i="140"/>
  <c r="C69" i="140"/>
  <c r="C58" i="140"/>
  <c r="C47" i="140"/>
  <c r="C36" i="140"/>
  <c r="B111" i="140"/>
  <c r="B100" i="140"/>
  <c r="B89" i="140"/>
  <c r="B78" i="140"/>
  <c r="B67" i="140"/>
  <c r="B56" i="140"/>
  <c r="B45" i="140"/>
  <c r="B34" i="140"/>
  <c r="B28" i="140"/>
  <c r="C27" i="140"/>
  <c r="E27" i="140" s="1"/>
  <c r="C25" i="140"/>
  <c r="B23" i="140"/>
  <c r="C15" i="140"/>
  <c r="C18" i="140"/>
  <c r="C16" i="140"/>
  <c r="C14" i="140"/>
  <c r="C113" i="139"/>
  <c r="C114" i="139"/>
  <c r="C115" i="139"/>
  <c r="C116" i="139"/>
  <c r="C117" i="139"/>
  <c r="C118" i="139"/>
  <c r="C119" i="139"/>
  <c r="C120" i="139"/>
  <c r="C121" i="139"/>
  <c r="C122" i="139"/>
  <c r="C123" i="139"/>
  <c r="C124" i="139"/>
  <c r="C125" i="139"/>
  <c r="C126" i="139"/>
  <c r="C127" i="139"/>
  <c r="C128" i="139"/>
  <c r="C129" i="139"/>
  <c r="C130" i="139"/>
  <c r="C131" i="139"/>
  <c r="C132" i="139"/>
  <c r="C133" i="139"/>
  <c r="C134" i="139"/>
  <c r="C135" i="139"/>
  <c r="C136" i="139"/>
  <c r="C137" i="139"/>
  <c r="C138" i="139"/>
  <c r="C139" i="139"/>
  <c r="C140" i="139"/>
  <c r="C141" i="139"/>
  <c r="C142" i="139"/>
  <c r="C143" i="139"/>
  <c r="C144" i="139"/>
  <c r="C145" i="139"/>
  <c r="C146" i="139"/>
  <c r="C147" i="139"/>
  <c r="C148" i="139"/>
  <c r="C149" i="139"/>
  <c r="C150" i="139"/>
  <c r="C151" i="139"/>
  <c r="C152" i="139"/>
  <c r="B58" i="139"/>
  <c r="B57" i="139"/>
  <c r="B56" i="139"/>
  <c r="B55" i="139"/>
  <c r="B62" i="139"/>
  <c r="B61" i="139"/>
  <c r="B60" i="139"/>
  <c r="B59" i="139"/>
  <c r="N30" i="14"/>
  <c r="K30" i="14"/>
  <c r="H30" i="14"/>
  <c r="E30" i="14"/>
  <c r="N16" i="14"/>
  <c r="B30" i="14"/>
  <c r="K16" i="14"/>
  <c r="H16" i="14"/>
  <c r="O36" i="14"/>
  <c r="F36" i="14"/>
  <c r="B209" i="162"/>
  <c r="C215" i="162"/>
  <c r="F200" i="162"/>
  <c r="F199" i="162"/>
  <c r="F198" i="162"/>
  <c r="F195" i="162"/>
  <c r="F194" i="162"/>
  <c r="F193" i="162"/>
  <c r="F196" i="162" s="1"/>
  <c r="F190" i="162"/>
  <c r="F189" i="162"/>
  <c r="G189" i="162" s="1"/>
  <c r="F188" i="162"/>
  <c r="F185" i="162"/>
  <c r="F184" i="162"/>
  <c r="F183" i="162"/>
  <c r="F180" i="162"/>
  <c r="F179" i="162"/>
  <c r="F178" i="162"/>
  <c r="F175" i="162"/>
  <c r="F174" i="162"/>
  <c r="F173" i="162"/>
  <c r="F170" i="162"/>
  <c r="F169" i="162"/>
  <c r="F168" i="162"/>
  <c r="F165" i="162"/>
  <c r="F164" i="162"/>
  <c r="F163" i="162"/>
  <c r="F166" i="162" s="1"/>
  <c r="B161" i="162"/>
  <c r="F156" i="162"/>
  <c r="F155" i="162"/>
  <c r="F154" i="162"/>
  <c r="F153" i="162"/>
  <c r="F152" i="162"/>
  <c r="F149" i="162"/>
  <c r="F148" i="162"/>
  <c r="F147" i="162"/>
  <c r="F146" i="162"/>
  <c r="G146" i="162" s="1"/>
  <c r="F145" i="162"/>
  <c r="F144" i="162"/>
  <c r="F143" i="162"/>
  <c r="F142" i="162"/>
  <c r="F141" i="162"/>
  <c r="F140" i="162"/>
  <c r="F137" i="162"/>
  <c r="F136" i="162"/>
  <c r="G133" i="162"/>
  <c r="G132" i="162"/>
  <c r="G131" i="162"/>
  <c r="G130" i="162"/>
  <c r="G129" i="162"/>
  <c r="G128" i="162"/>
  <c r="G127" i="162"/>
  <c r="B125" i="162"/>
  <c r="F117" i="162"/>
  <c r="D107" i="162"/>
  <c r="C107" i="162"/>
  <c r="B103" i="162"/>
  <c r="D100" i="162"/>
  <c r="C100" i="162"/>
  <c r="B93" i="162"/>
  <c r="D90" i="162"/>
  <c r="C90" i="162"/>
  <c r="D77" i="162"/>
  <c r="C77" i="162"/>
  <c r="D59" i="162"/>
  <c r="D58" i="162"/>
  <c r="C59" i="162"/>
  <c r="C116" i="140" s="1"/>
  <c r="H47" i="162"/>
  <c r="C45" i="162"/>
  <c r="E44" i="162"/>
  <c r="G44" i="162" s="1"/>
  <c r="E43" i="162"/>
  <c r="G43" i="162" s="1"/>
  <c r="C41" i="162"/>
  <c r="E40" i="162"/>
  <c r="E39" i="162"/>
  <c r="G39" i="162" s="1"/>
  <c r="C37" i="162"/>
  <c r="E36" i="162"/>
  <c r="G36" i="162" s="1"/>
  <c r="E35" i="162"/>
  <c r="G35" i="162" s="1"/>
  <c r="C33" i="162"/>
  <c r="E32" i="162"/>
  <c r="G32" i="162" s="1"/>
  <c r="E31" i="162"/>
  <c r="E33" i="162" s="1"/>
  <c r="C29" i="162"/>
  <c r="E28" i="162"/>
  <c r="G28" i="162" s="1"/>
  <c r="E27" i="162"/>
  <c r="G27" i="162" s="1"/>
  <c r="C25" i="162"/>
  <c r="E24" i="162"/>
  <c r="G24" i="162" s="1"/>
  <c r="G23" i="162"/>
  <c r="E23" i="162"/>
  <c r="C21" i="162"/>
  <c r="E20" i="162"/>
  <c r="G20" i="162" s="1"/>
  <c r="E19" i="162"/>
  <c r="G19" i="162" s="1"/>
  <c r="E18" i="162"/>
  <c r="G18" i="162" s="1"/>
  <c r="E17" i="162"/>
  <c r="G17" i="162" s="1"/>
  <c r="E16" i="162"/>
  <c r="G16" i="162" s="1"/>
  <c r="C14" i="162"/>
  <c r="E13" i="162"/>
  <c r="G13" i="162" s="1"/>
  <c r="E12" i="162"/>
  <c r="G12" i="162" s="1"/>
  <c r="E11" i="162"/>
  <c r="G11" i="162" s="1"/>
  <c r="E10" i="162"/>
  <c r="G10" i="162" s="1"/>
  <c r="E9" i="162"/>
  <c r="B209" i="161"/>
  <c r="C215" i="161"/>
  <c r="L36" i="14" s="1"/>
  <c r="F200" i="161"/>
  <c r="G200" i="161" s="1"/>
  <c r="F199" i="161"/>
  <c r="G199" i="161" s="1"/>
  <c r="F198" i="161"/>
  <c r="F201" i="161" s="1"/>
  <c r="F195" i="161"/>
  <c r="G195" i="161" s="1"/>
  <c r="G194" i="161"/>
  <c r="F194" i="161"/>
  <c r="F193" i="161"/>
  <c r="F190" i="161"/>
  <c r="F189" i="161"/>
  <c r="F188" i="161"/>
  <c r="F185" i="161"/>
  <c r="G185" i="161" s="1"/>
  <c r="F184" i="161"/>
  <c r="G184" i="161" s="1"/>
  <c r="F183" i="161"/>
  <c r="F186" i="161" s="1"/>
  <c r="F180" i="161"/>
  <c r="G180" i="161" s="1"/>
  <c r="F179" i="161"/>
  <c r="G179" i="161" s="1"/>
  <c r="F178" i="161"/>
  <c r="F175" i="161"/>
  <c r="G174" i="161"/>
  <c r="F174" i="161"/>
  <c r="F173" i="161"/>
  <c r="F170" i="161"/>
  <c r="F169" i="161"/>
  <c r="F168" i="161"/>
  <c r="F165" i="161"/>
  <c r="F164" i="161"/>
  <c r="F163" i="161"/>
  <c r="F166" i="161" s="1"/>
  <c r="B161" i="161"/>
  <c r="G156" i="161"/>
  <c r="F156" i="161"/>
  <c r="F155" i="161"/>
  <c r="G155" i="161" s="1"/>
  <c r="F154" i="161"/>
  <c r="F153" i="161"/>
  <c r="F152" i="161"/>
  <c r="F149" i="161"/>
  <c r="F148" i="161"/>
  <c r="F147" i="161"/>
  <c r="F146" i="161"/>
  <c r="G146" i="161" s="1"/>
  <c r="G145" i="161"/>
  <c r="F145" i="161"/>
  <c r="F144" i="161"/>
  <c r="G144" i="161" s="1"/>
  <c r="F143" i="161"/>
  <c r="G143" i="161" s="1"/>
  <c r="F142" i="161"/>
  <c r="F141" i="161"/>
  <c r="F140" i="161"/>
  <c r="F137" i="161"/>
  <c r="F136" i="161"/>
  <c r="F138" i="161" s="1"/>
  <c r="G133" i="161"/>
  <c r="G132" i="161"/>
  <c r="G131" i="161"/>
  <c r="G130" i="161"/>
  <c r="G129" i="161"/>
  <c r="G128" i="161"/>
  <c r="G127" i="161"/>
  <c r="B125" i="161"/>
  <c r="F117" i="161"/>
  <c r="D107" i="161"/>
  <c r="C107" i="161"/>
  <c r="B103" i="161"/>
  <c r="D100" i="161"/>
  <c r="C100" i="161"/>
  <c r="B93" i="161"/>
  <c r="D90" i="161"/>
  <c r="C90" i="161"/>
  <c r="D77" i="161"/>
  <c r="C77" i="161"/>
  <c r="C109" i="161" s="1"/>
  <c r="C110" i="161" s="1"/>
  <c r="D59" i="161"/>
  <c r="D58" i="161"/>
  <c r="G193" i="161"/>
  <c r="H47" i="161"/>
  <c r="C45" i="161"/>
  <c r="E44" i="161"/>
  <c r="E43" i="161"/>
  <c r="G43" i="161" s="1"/>
  <c r="C41" i="161"/>
  <c r="E40" i="161"/>
  <c r="G40" i="161" s="1"/>
  <c r="G39" i="161"/>
  <c r="E39" i="161"/>
  <c r="C37" i="161"/>
  <c r="E36" i="161"/>
  <c r="G36" i="161" s="1"/>
  <c r="E35" i="161"/>
  <c r="E37" i="161" s="1"/>
  <c r="C33" i="161"/>
  <c r="E32" i="161"/>
  <c r="G32" i="161" s="1"/>
  <c r="E31" i="161"/>
  <c r="E33" i="161" s="1"/>
  <c r="C29" i="161"/>
  <c r="E28" i="161"/>
  <c r="G28" i="161" s="1"/>
  <c r="G27" i="161"/>
  <c r="E27" i="161"/>
  <c r="C25" i="161"/>
  <c r="E24" i="161"/>
  <c r="G24" i="161" s="1"/>
  <c r="G23" i="161"/>
  <c r="E23" i="161"/>
  <c r="E25" i="161" s="1"/>
  <c r="C21" i="161"/>
  <c r="E20" i="161"/>
  <c r="G20" i="161" s="1"/>
  <c r="E19" i="161"/>
  <c r="G19" i="161" s="1"/>
  <c r="E18" i="161"/>
  <c r="G18" i="161" s="1"/>
  <c r="G17" i="161"/>
  <c r="E17" i="161"/>
  <c r="E16" i="161"/>
  <c r="C14" i="161"/>
  <c r="G13" i="161"/>
  <c r="E13" i="161"/>
  <c r="E12" i="161"/>
  <c r="G12" i="161" s="1"/>
  <c r="E11" i="161"/>
  <c r="G11" i="161" s="1"/>
  <c r="E10" i="161"/>
  <c r="G10" i="161" s="1"/>
  <c r="G9" i="161"/>
  <c r="E9" i="161"/>
  <c r="B209" i="160"/>
  <c r="C215" i="160"/>
  <c r="I36" i="14" s="1"/>
  <c r="F200" i="160"/>
  <c r="F199" i="160"/>
  <c r="G199" i="160" s="1"/>
  <c r="F198" i="160"/>
  <c r="G198" i="160" s="1"/>
  <c r="F195" i="160"/>
  <c r="G195" i="160" s="1"/>
  <c r="F194" i="160"/>
  <c r="F193" i="160"/>
  <c r="F190" i="160"/>
  <c r="F189" i="160"/>
  <c r="F188" i="160"/>
  <c r="F185" i="160"/>
  <c r="G185" i="160" s="1"/>
  <c r="F184" i="160"/>
  <c r="G184" i="160" s="1"/>
  <c r="F183" i="160"/>
  <c r="F180" i="160"/>
  <c r="G180" i="160" s="1"/>
  <c r="F179" i="160"/>
  <c r="G179" i="160" s="1"/>
  <c r="G178" i="160"/>
  <c r="F178" i="160"/>
  <c r="F175" i="160"/>
  <c r="F174" i="160"/>
  <c r="G174" i="160" s="1"/>
  <c r="F173" i="160"/>
  <c r="F170" i="160"/>
  <c r="F169" i="160"/>
  <c r="G169" i="160" s="1"/>
  <c r="F168" i="160"/>
  <c r="F165" i="160"/>
  <c r="G165" i="160" s="1"/>
  <c r="F164" i="160"/>
  <c r="G164" i="160" s="1"/>
  <c r="G163" i="160"/>
  <c r="F163" i="160"/>
  <c r="B161" i="160"/>
  <c r="F156" i="160"/>
  <c r="F155" i="160"/>
  <c r="F154" i="160"/>
  <c r="G154" i="160" s="1"/>
  <c r="F153" i="160"/>
  <c r="F152" i="160"/>
  <c r="F149" i="160"/>
  <c r="F148" i="160"/>
  <c r="G148" i="160" s="1"/>
  <c r="G147" i="160"/>
  <c r="F147" i="160"/>
  <c r="F146" i="160"/>
  <c r="F145" i="160"/>
  <c r="F144" i="160"/>
  <c r="F143" i="160"/>
  <c r="F142" i="160"/>
  <c r="F141" i="160"/>
  <c r="G141" i="160" s="1"/>
  <c r="F140" i="160"/>
  <c r="F137" i="160"/>
  <c r="F136" i="160"/>
  <c r="F138" i="160" s="1"/>
  <c r="G133" i="160"/>
  <c r="G132" i="160"/>
  <c r="G131" i="160"/>
  <c r="G130" i="160"/>
  <c r="G129" i="160"/>
  <c r="G128" i="160"/>
  <c r="G127" i="160"/>
  <c r="B125" i="160"/>
  <c r="F117" i="160"/>
  <c r="D107" i="160"/>
  <c r="C107" i="160"/>
  <c r="B103" i="160"/>
  <c r="D100" i="160"/>
  <c r="C100" i="160"/>
  <c r="B93" i="160"/>
  <c r="D90" i="160"/>
  <c r="C90" i="160"/>
  <c r="D77" i="160"/>
  <c r="C77" i="160"/>
  <c r="D59" i="160"/>
  <c r="C59" i="160"/>
  <c r="C94" i="140" s="1"/>
  <c r="D94" i="140" s="1"/>
  <c r="D58" i="160"/>
  <c r="C93" i="140"/>
  <c r="H47" i="160"/>
  <c r="C45" i="160"/>
  <c r="E44" i="160"/>
  <c r="E45" i="160" s="1"/>
  <c r="E43" i="160"/>
  <c r="G43" i="160" s="1"/>
  <c r="C41" i="160"/>
  <c r="E40" i="160"/>
  <c r="G40" i="160" s="1"/>
  <c r="E39" i="160"/>
  <c r="G39" i="160" s="1"/>
  <c r="C37" i="160"/>
  <c r="E36" i="160"/>
  <c r="G36" i="160" s="1"/>
  <c r="E35" i="160"/>
  <c r="G35" i="160" s="1"/>
  <c r="C33" i="160"/>
  <c r="G32" i="160"/>
  <c r="E32" i="160"/>
  <c r="E31" i="160"/>
  <c r="C29" i="160"/>
  <c r="E28" i="160"/>
  <c r="G28" i="160" s="1"/>
  <c r="E27" i="160"/>
  <c r="G27" i="160" s="1"/>
  <c r="C25" i="160"/>
  <c r="E24" i="160"/>
  <c r="G24" i="160" s="1"/>
  <c r="E23" i="160"/>
  <c r="G23" i="160" s="1"/>
  <c r="C21" i="160"/>
  <c r="E20" i="160"/>
  <c r="G20" i="160" s="1"/>
  <c r="E19" i="160"/>
  <c r="G19" i="160" s="1"/>
  <c r="G18" i="160"/>
  <c r="E18" i="160"/>
  <c r="E17" i="160"/>
  <c r="G17" i="160" s="1"/>
  <c r="E16" i="160"/>
  <c r="C14" i="160"/>
  <c r="E13" i="160"/>
  <c r="G13" i="160" s="1"/>
  <c r="E12" i="160"/>
  <c r="G12" i="160" s="1"/>
  <c r="G11" i="160"/>
  <c r="E11" i="160"/>
  <c r="E10" i="160"/>
  <c r="G10" i="160" s="1"/>
  <c r="E9" i="160"/>
  <c r="E14" i="160" s="1"/>
  <c r="B209" i="159"/>
  <c r="C215" i="159"/>
  <c r="F200" i="159"/>
  <c r="F199" i="159"/>
  <c r="F198" i="159"/>
  <c r="F201" i="159" s="1"/>
  <c r="F195" i="159"/>
  <c r="F194" i="159"/>
  <c r="F193" i="159"/>
  <c r="F190" i="159"/>
  <c r="F189" i="159"/>
  <c r="F188" i="159"/>
  <c r="F185" i="159"/>
  <c r="F184" i="159"/>
  <c r="F183" i="159"/>
  <c r="F180" i="159"/>
  <c r="F179" i="159"/>
  <c r="F178" i="159"/>
  <c r="F181" i="159" s="1"/>
  <c r="F175" i="159"/>
  <c r="F174" i="159"/>
  <c r="F173" i="159"/>
  <c r="F170" i="159"/>
  <c r="F169" i="159"/>
  <c r="F168" i="159"/>
  <c r="G168" i="159" s="1"/>
  <c r="F165" i="159"/>
  <c r="F164" i="159"/>
  <c r="F163" i="159"/>
  <c r="F166" i="159" s="1"/>
  <c r="B161" i="159"/>
  <c r="F156" i="159"/>
  <c r="F155" i="159"/>
  <c r="F154" i="159"/>
  <c r="F153" i="159"/>
  <c r="F152" i="159"/>
  <c r="F149" i="159"/>
  <c r="F148" i="159"/>
  <c r="F147" i="159"/>
  <c r="F146" i="159"/>
  <c r="F145" i="159"/>
  <c r="F144" i="159"/>
  <c r="F143" i="159"/>
  <c r="F142" i="159"/>
  <c r="F141" i="159"/>
  <c r="F140" i="159"/>
  <c r="F137" i="159"/>
  <c r="F136" i="159"/>
  <c r="G133" i="159"/>
  <c r="G132" i="159"/>
  <c r="G131" i="159"/>
  <c r="G130" i="159"/>
  <c r="G129" i="159"/>
  <c r="G128" i="159"/>
  <c r="G127" i="159"/>
  <c r="B125" i="159"/>
  <c r="F117" i="159"/>
  <c r="D107" i="159"/>
  <c r="C107" i="159"/>
  <c r="B103" i="159"/>
  <c r="D100" i="159"/>
  <c r="C100" i="159"/>
  <c r="B93" i="159"/>
  <c r="D90" i="159"/>
  <c r="C90" i="159"/>
  <c r="D77" i="159"/>
  <c r="C77" i="159"/>
  <c r="D59" i="159"/>
  <c r="D58" i="159"/>
  <c r="G147" i="159"/>
  <c r="H47" i="159"/>
  <c r="C45" i="159"/>
  <c r="E44" i="159"/>
  <c r="E43" i="159"/>
  <c r="G43" i="159" s="1"/>
  <c r="C41" i="159"/>
  <c r="E40" i="159"/>
  <c r="G40" i="159" s="1"/>
  <c r="E39" i="159"/>
  <c r="G39" i="159" s="1"/>
  <c r="C37" i="159"/>
  <c r="E36" i="159"/>
  <c r="G36" i="159" s="1"/>
  <c r="E35" i="159"/>
  <c r="C33" i="159"/>
  <c r="E32" i="159"/>
  <c r="G32" i="159" s="1"/>
  <c r="E31" i="159"/>
  <c r="C29" i="159"/>
  <c r="E28" i="159"/>
  <c r="G28" i="159" s="1"/>
  <c r="E27" i="159"/>
  <c r="G27" i="159" s="1"/>
  <c r="C25" i="159"/>
  <c r="E24" i="159"/>
  <c r="G24" i="159" s="1"/>
  <c r="G23" i="159"/>
  <c r="E23" i="159"/>
  <c r="C21" i="159"/>
  <c r="E20" i="159"/>
  <c r="G20" i="159" s="1"/>
  <c r="E19" i="159"/>
  <c r="G19" i="159" s="1"/>
  <c r="E18" i="159"/>
  <c r="G18" i="159" s="1"/>
  <c r="E17" i="159"/>
  <c r="G17" i="159" s="1"/>
  <c r="E16" i="159"/>
  <c r="G16" i="159" s="1"/>
  <c r="C14" i="159"/>
  <c r="E13" i="159"/>
  <c r="G13" i="159" s="1"/>
  <c r="E12" i="159"/>
  <c r="G12" i="159" s="1"/>
  <c r="G11" i="159"/>
  <c r="E11" i="159"/>
  <c r="E10" i="159"/>
  <c r="G10" i="159" s="1"/>
  <c r="E9" i="159"/>
  <c r="B209" i="158"/>
  <c r="C215" i="158"/>
  <c r="C36" i="14" s="1"/>
  <c r="F200" i="158"/>
  <c r="G200" i="158" s="1"/>
  <c r="F199" i="158"/>
  <c r="G199" i="158" s="1"/>
  <c r="F198" i="158"/>
  <c r="F195" i="158"/>
  <c r="G195" i="158" s="1"/>
  <c r="F194" i="158"/>
  <c r="G194" i="158" s="1"/>
  <c r="F193" i="158"/>
  <c r="F190" i="158"/>
  <c r="F189" i="158"/>
  <c r="G189" i="158" s="1"/>
  <c r="F188" i="158"/>
  <c r="F185" i="158"/>
  <c r="G185" i="158" s="1"/>
  <c r="F184" i="158"/>
  <c r="F183" i="158"/>
  <c r="F180" i="158"/>
  <c r="G180" i="158" s="1"/>
  <c r="F179" i="158"/>
  <c r="F178" i="158"/>
  <c r="F181" i="158" s="1"/>
  <c r="F175" i="158"/>
  <c r="G175" i="158" s="1"/>
  <c r="F174" i="158"/>
  <c r="F173" i="158"/>
  <c r="F170" i="158"/>
  <c r="G170" i="158" s="1"/>
  <c r="F169" i="158"/>
  <c r="F168" i="158"/>
  <c r="F165" i="158"/>
  <c r="F164" i="158"/>
  <c r="F163" i="158"/>
  <c r="F166" i="158" s="1"/>
  <c r="B161" i="158"/>
  <c r="F156" i="158"/>
  <c r="G156" i="158" s="1"/>
  <c r="F155" i="158"/>
  <c r="G155" i="158" s="1"/>
  <c r="F154" i="158"/>
  <c r="F153" i="158"/>
  <c r="G153" i="158" s="1"/>
  <c r="F152" i="158"/>
  <c r="F149" i="158"/>
  <c r="F148" i="158"/>
  <c r="G148" i="158" s="1"/>
  <c r="F147" i="158"/>
  <c r="G146" i="158"/>
  <c r="F146" i="158"/>
  <c r="F145" i="158"/>
  <c r="F144" i="158"/>
  <c r="G144" i="158" s="1"/>
  <c r="F143" i="158"/>
  <c r="G143" i="158" s="1"/>
  <c r="F142" i="158"/>
  <c r="F141" i="158"/>
  <c r="F140" i="158"/>
  <c r="G140" i="158" s="1"/>
  <c r="F137" i="158"/>
  <c r="F136" i="158"/>
  <c r="F138" i="158" s="1"/>
  <c r="G133" i="158"/>
  <c r="G132" i="158"/>
  <c r="G131" i="158"/>
  <c r="G130" i="158"/>
  <c r="G129" i="158"/>
  <c r="G128" i="158"/>
  <c r="G127" i="158"/>
  <c r="B125" i="158"/>
  <c r="F117" i="158"/>
  <c r="D107" i="158"/>
  <c r="D109" i="158" s="1"/>
  <c r="D110" i="158" s="1"/>
  <c r="C107" i="158"/>
  <c r="B103" i="158"/>
  <c r="D100" i="158"/>
  <c r="C100" i="158"/>
  <c r="B93" i="158"/>
  <c r="D90" i="158"/>
  <c r="C90" i="158"/>
  <c r="D77" i="158"/>
  <c r="C77" i="158"/>
  <c r="D59" i="158"/>
  <c r="C59" i="158"/>
  <c r="C72" i="140" s="1"/>
  <c r="D58" i="158"/>
  <c r="G174" i="158"/>
  <c r="H47" i="158"/>
  <c r="C45" i="158"/>
  <c r="E44" i="158"/>
  <c r="E45" i="158" s="1"/>
  <c r="G43" i="158"/>
  <c r="E43" i="158"/>
  <c r="C41" i="158"/>
  <c r="E40" i="158"/>
  <c r="E41" i="158" s="1"/>
  <c r="G39" i="158"/>
  <c r="E39" i="158"/>
  <c r="C37" i="158"/>
  <c r="G36" i="158"/>
  <c r="E36" i="158"/>
  <c r="E35" i="158"/>
  <c r="E37" i="158" s="1"/>
  <c r="C33" i="158"/>
  <c r="E32" i="158"/>
  <c r="G32" i="158" s="1"/>
  <c r="E31" i="158"/>
  <c r="E33" i="158" s="1"/>
  <c r="C29" i="158"/>
  <c r="E28" i="158"/>
  <c r="G28" i="158" s="1"/>
  <c r="E27" i="158"/>
  <c r="G27" i="158" s="1"/>
  <c r="C25" i="158"/>
  <c r="E24" i="158"/>
  <c r="G24" i="158" s="1"/>
  <c r="E23" i="158"/>
  <c r="G23" i="158" s="1"/>
  <c r="C21" i="158"/>
  <c r="E20" i="158"/>
  <c r="G20" i="158" s="1"/>
  <c r="G19" i="158"/>
  <c r="E19" i="158"/>
  <c r="G18" i="158"/>
  <c r="E18" i="158"/>
  <c r="E17" i="158"/>
  <c r="G17" i="158" s="1"/>
  <c r="E16" i="158"/>
  <c r="C14" i="158"/>
  <c r="E13" i="158"/>
  <c r="G13" i="158" s="1"/>
  <c r="E12" i="158"/>
  <c r="G12" i="158" s="1"/>
  <c r="G11" i="158"/>
  <c r="E11" i="158"/>
  <c r="E10" i="158"/>
  <c r="G10" i="158" s="1"/>
  <c r="E9" i="158"/>
  <c r="B209" i="157"/>
  <c r="C215" i="157"/>
  <c r="O22" i="14" s="1"/>
  <c r="F200" i="157"/>
  <c r="F199" i="157"/>
  <c r="F198" i="157"/>
  <c r="F195" i="157"/>
  <c r="F194" i="157"/>
  <c r="F193" i="157"/>
  <c r="F196" i="157" s="1"/>
  <c r="F190" i="157"/>
  <c r="F189" i="157"/>
  <c r="F188" i="157"/>
  <c r="F185" i="157"/>
  <c r="F184" i="157"/>
  <c r="F183" i="157"/>
  <c r="F186" i="157" s="1"/>
  <c r="F180" i="157"/>
  <c r="F179" i="157"/>
  <c r="F178" i="157"/>
  <c r="F175" i="157"/>
  <c r="F174" i="157"/>
  <c r="F173" i="157"/>
  <c r="F170" i="157"/>
  <c r="F169" i="157"/>
  <c r="F168" i="157"/>
  <c r="F165" i="157"/>
  <c r="F164" i="157"/>
  <c r="F163" i="157"/>
  <c r="F166" i="157" s="1"/>
  <c r="B161" i="157"/>
  <c r="F156" i="157"/>
  <c r="F155" i="157"/>
  <c r="F154" i="157"/>
  <c r="F153" i="157"/>
  <c r="F152" i="157"/>
  <c r="F149" i="157"/>
  <c r="F148" i="157"/>
  <c r="F147" i="157"/>
  <c r="F146" i="157"/>
  <c r="F145" i="157"/>
  <c r="F144" i="157"/>
  <c r="F143" i="157"/>
  <c r="F142" i="157"/>
  <c r="F141" i="157"/>
  <c r="F140" i="157"/>
  <c r="F137" i="157"/>
  <c r="F136" i="157"/>
  <c r="G133" i="157"/>
  <c r="G132" i="157"/>
  <c r="G131" i="157"/>
  <c r="G130" i="157"/>
  <c r="G129" i="157"/>
  <c r="G128" i="157"/>
  <c r="G127" i="157"/>
  <c r="B125" i="157"/>
  <c r="F117" i="157"/>
  <c r="D107" i="157"/>
  <c r="C107" i="157"/>
  <c r="B103" i="157"/>
  <c r="D100" i="157"/>
  <c r="C100" i="157"/>
  <c r="B93" i="157"/>
  <c r="D90" i="157"/>
  <c r="C90" i="157"/>
  <c r="D77" i="157"/>
  <c r="C77" i="157"/>
  <c r="D59" i="157"/>
  <c r="D58" i="157"/>
  <c r="G154" i="157"/>
  <c r="H47" i="157"/>
  <c r="C45" i="157"/>
  <c r="E44" i="157"/>
  <c r="E43" i="157"/>
  <c r="G43" i="157" s="1"/>
  <c r="C41" i="157"/>
  <c r="E40" i="157"/>
  <c r="G40" i="157" s="1"/>
  <c r="E39" i="157"/>
  <c r="G39" i="157" s="1"/>
  <c r="G41" i="157" s="1"/>
  <c r="C37" i="157"/>
  <c r="E36" i="157"/>
  <c r="G36" i="157" s="1"/>
  <c r="E35" i="157"/>
  <c r="E37" i="157" s="1"/>
  <c r="C33" i="157"/>
  <c r="E32" i="157"/>
  <c r="G32" i="157" s="1"/>
  <c r="E31" i="157"/>
  <c r="E33" i="157" s="1"/>
  <c r="E29" i="157"/>
  <c r="C29" i="157"/>
  <c r="E28" i="157"/>
  <c r="G28" i="157" s="1"/>
  <c r="E27" i="157"/>
  <c r="G27" i="157" s="1"/>
  <c r="C25" i="157"/>
  <c r="E24" i="157"/>
  <c r="G24" i="157" s="1"/>
  <c r="E23" i="157"/>
  <c r="E25" i="157" s="1"/>
  <c r="C21" i="157"/>
  <c r="E20" i="157"/>
  <c r="G20" i="157" s="1"/>
  <c r="E19" i="157"/>
  <c r="G19" i="157" s="1"/>
  <c r="E18" i="157"/>
  <c r="G18" i="157" s="1"/>
  <c r="E17" i="157"/>
  <c r="G17" i="157" s="1"/>
  <c r="E16" i="157"/>
  <c r="C14" i="157"/>
  <c r="E13" i="157"/>
  <c r="G13" i="157" s="1"/>
  <c r="E12" i="157"/>
  <c r="G12" i="157" s="1"/>
  <c r="E11" i="157"/>
  <c r="G11" i="157" s="1"/>
  <c r="E10" i="157"/>
  <c r="G10" i="157" s="1"/>
  <c r="E9" i="157"/>
  <c r="E14" i="157" s="1"/>
  <c r="B209" i="156"/>
  <c r="C215" i="156"/>
  <c r="L22" i="14" s="1"/>
  <c r="F200" i="156"/>
  <c r="G200" i="156" s="1"/>
  <c r="F199" i="156"/>
  <c r="F198" i="156"/>
  <c r="F201" i="156" s="1"/>
  <c r="F195" i="156"/>
  <c r="F194" i="156"/>
  <c r="G194" i="156" s="1"/>
  <c r="F193" i="156"/>
  <c r="F190" i="156"/>
  <c r="F189" i="156"/>
  <c r="F188" i="156"/>
  <c r="F185" i="156"/>
  <c r="G185" i="156" s="1"/>
  <c r="F184" i="156"/>
  <c r="F183" i="156"/>
  <c r="F186" i="156" s="1"/>
  <c r="F180" i="156"/>
  <c r="F179" i="156"/>
  <c r="G179" i="156" s="1"/>
  <c r="F178" i="156"/>
  <c r="F175" i="156"/>
  <c r="F174" i="156"/>
  <c r="F173" i="156"/>
  <c r="F170" i="156"/>
  <c r="F169" i="156"/>
  <c r="F168" i="156"/>
  <c r="F171" i="156" s="1"/>
  <c r="F165" i="156"/>
  <c r="F164" i="156"/>
  <c r="G164" i="156" s="1"/>
  <c r="F163" i="156"/>
  <c r="B161" i="156"/>
  <c r="F156" i="156"/>
  <c r="G156" i="156" s="1"/>
  <c r="F155" i="156"/>
  <c r="F154" i="156"/>
  <c r="F153" i="156"/>
  <c r="F152" i="156"/>
  <c r="F149" i="156"/>
  <c r="F148" i="156"/>
  <c r="F147" i="156"/>
  <c r="F146" i="156"/>
  <c r="G146" i="156" s="1"/>
  <c r="F145" i="156"/>
  <c r="F144" i="156"/>
  <c r="F143" i="156"/>
  <c r="F142" i="156"/>
  <c r="G142" i="156" s="1"/>
  <c r="F141" i="156"/>
  <c r="F140" i="156"/>
  <c r="F137" i="156"/>
  <c r="F136" i="156"/>
  <c r="G133" i="156"/>
  <c r="G132" i="156"/>
  <c r="G131" i="156"/>
  <c r="G130" i="156"/>
  <c r="G129" i="156"/>
  <c r="G128" i="156"/>
  <c r="G127" i="156"/>
  <c r="B125" i="156"/>
  <c r="F117" i="156"/>
  <c r="D107" i="156"/>
  <c r="C107" i="156"/>
  <c r="B103" i="156"/>
  <c r="D100" i="156"/>
  <c r="C100" i="156"/>
  <c r="B93" i="156"/>
  <c r="D90" i="156"/>
  <c r="D109" i="156" s="1"/>
  <c r="D110" i="156" s="1"/>
  <c r="C90" i="156"/>
  <c r="D77" i="156"/>
  <c r="C77" i="156"/>
  <c r="D59" i="156"/>
  <c r="D58" i="156"/>
  <c r="C49" i="140"/>
  <c r="H47" i="156"/>
  <c r="C45" i="156"/>
  <c r="E44" i="156"/>
  <c r="E43" i="156"/>
  <c r="G43" i="156" s="1"/>
  <c r="C41" i="156"/>
  <c r="E40" i="156"/>
  <c r="E39" i="156"/>
  <c r="G39" i="156" s="1"/>
  <c r="C37" i="156"/>
  <c r="E36" i="156"/>
  <c r="G36" i="156" s="1"/>
  <c r="G35" i="156"/>
  <c r="G37" i="156" s="1"/>
  <c r="E35" i="156"/>
  <c r="C33" i="156"/>
  <c r="E32" i="156"/>
  <c r="G32" i="156" s="1"/>
  <c r="E31" i="156"/>
  <c r="E33" i="156" s="1"/>
  <c r="C29" i="156"/>
  <c r="E28" i="156"/>
  <c r="G28" i="156" s="1"/>
  <c r="G27" i="156"/>
  <c r="E27" i="156"/>
  <c r="E29" i="156" s="1"/>
  <c r="C25" i="156"/>
  <c r="E24" i="156"/>
  <c r="G24" i="156" s="1"/>
  <c r="E23" i="156"/>
  <c r="E25" i="156" s="1"/>
  <c r="C21" i="156"/>
  <c r="E20" i="156"/>
  <c r="G20" i="156" s="1"/>
  <c r="E19" i="156"/>
  <c r="G19" i="156" s="1"/>
  <c r="E18" i="156"/>
  <c r="G18" i="156" s="1"/>
  <c r="G17" i="156"/>
  <c r="E17" i="156"/>
  <c r="E16" i="156"/>
  <c r="C14" i="156"/>
  <c r="E13" i="156"/>
  <c r="G13" i="156" s="1"/>
  <c r="E12" i="156"/>
  <c r="G12" i="156" s="1"/>
  <c r="E11" i="156"/>
  <c r="G11" i="156" s="1"/>
  <c r="E10" i="156"/>
  <c r="G10" i="156" s="1"/>
  <c r="E9" i="156"/>
  <c r="B209" i="155"/>
  <c r="C215" i="155"/>
  <c r="I22" i="14" s="1"/>
  <c r="F200" i="155"/>
  <c r="F199" i="155"/>
  <c r="F198" i="155"/>
  <c r="F201" i="155" s="1"/>
  <c r="F195" i="155"/>
  <c r="F194" i="155"/>
  <c r="F193" i="155"/>
  <c r="F190" i="155"/>
  <c r="F189" i="155"/>
  <c r="F188" i="155"/>
  <c r="F185" i="155"/>
  <c r="F184" i="155"/>
  <c r="F183" i="155"/>
  <c r="F186" i="155" s="1"/>
  <c r="F180" i="155"/>
  <c r="F179" i="155"/>
  <c r="F178" i="155"/>
  <c r="F181" i="155" s="1"/>
  <c r="F175" i="155"/>
  <c r="F174" i="155"/>
  <c r="F173" i="155"/>
  <c r="F170" i="155"/>
  <c r="F169" i="155"/>
  <c r="F168" i="155"/>
  <c r="F165" i="155"/>
  <c r="F164" i="155"/>
  <c r="F163" i="155"/>
  <c r="F166" i="155" s="1"/>
  <c r="B161" i="155"/>
  <c r="F156" i="155"/>
  <c r="F155" i="155"/>
  <c r="G155" i="155" s="1"/>
  <c r="F154" i="155"/>
  <c r="F153" i="155"/>
  <c r="F152" i="155"/>
  <c r="F149" i="155"/>
  <c r="F148" i="155"/>
  <c r="F147" i="155"/>
  <c r="F146" i="155"/>
  <c r="F145" i="155"/>
  <c r="F144" i="155"/>
  <c r="F143" i="155"/>
  <c r="F142" i="155"/>
  <c r="F141" i="155"/>
  <c r="F140" i="155"/>
  <c r="F137" i="155"/>
  <c r="F136" i="155"/>
  <c r="G133" i="155"/>
  <c r="G132" i="155"/>
  <c r="G131" i="155"/>
  <c r="G130" i="155"/>
  <c r="G129" i="155"/>
  <c r="G128" i="155"/>
  <c r="G127" i="155"/>
  <c r="G134" i="155" s="1"/>
  <c r="B125" i="155"/>
  <c r="F117" i="155"/>
  <c r="D107" i="155"/>
  <c r="C107" i="155"/>
  <c r="B103" i="155"/>
  <c r="D100" i="155"/>
  <c r="C100" i="155"/>
  <c r="B93" i="155"/>
  <c r="D90" i="155"/>
  <c r="C90" i="155"/>
  <c r="D77" i="155"/>
  <c r="D109" i="155" s="1"/>
  <c r="C77" i="155"/>
  <c r="D59" i="155"/>
  <c r="D58" i="155"/>
  <c r="C38" i="140"/>
  <c r="H47" i="155"/>
  <c r="C45" i="155"/>
  <c r="E44" i="155"/>
  <c r="G44" i="155" s="1"/>
  <c r="E43" i="155"/>
  <c r="G43" i="155" s="1"/>
  <c r="C41" i="155"/>
  <c r="E40" i="155"/>
  <c r="G40" i="155" s="1"/>
  <c r="E39" i="155"/>
  <c r="G39" i="155" s="1"/>
  <c r="C37" i="155"/>
  <c r="E36" i="155"/>
  <c r="G36" i="155" s="1"/>
  <c r="E35" i="155"/>
  <c r="E37" i="155" s="1"/>
  <c r="C33" i="155"/>
  <c r="E32" i="155"/>
  <c r="G32" i="155" s="1"/>
  <c r="E31" i="155"/>
  <c r="E33" i="155" s="1"/>
  <c r="C29" i="155"/>
  <c r="E28" i="155"/>
  <c r="G28" i="155" s="1"/>
  <c r="E27" i="155"/>
  <c r="G27" i="155" s="1"/>
  <c r="C25" i="155"/>
  <c r="E24" i="155"/>
  <c r="G24" i="155" s="1"/>
  <c r="E23" i="155"/>
  <c r="G23" i="155" s="1"/>
  <c r="C21" i="155"/>
  <c r="E20" i="155"/>
  <c r="G20" i="155" s="1"/>
  <c r="E19" i="155"/>
  <c r="G19" i="155" s="1"/>
  <c r="E18" i="155"/>
  <c r="G18" i="155" s="1"/>
  <c r="E17" i="155"/>
  <c r="G17" i="155" s="1"/>
  <c r="E16" i="155"/>
  <c r="G16" i="155" s="1"/>
  <c r="C14" i="155"/>
  <c r="E13" i="155"/>
  <c r="G13" i="155" s="1"/>
  <c r="E12" i="155"/>
  <c r="G12" i="155" s="1"/>
  <c r="G11" i="155"/>
  <c r="E11" i="155"/>
  <c r="E10" i="155"/>
  <c r="G10" i="155" s="1"/>
  <c r="E9" i="155"/>
  <c r="B209" i="129"/>
  <c r="C215" i="129"/>
  <c r="F22" i="14" s="1"/>
  <c r="F117" i="129"/>
  <c r="F200" i="129"/>
  <c r="F199" i="129"/>
  <c r="F198" i="129"/>
  <c r="F195" i="129"/>
  <c r="F194" i="129"/>
  <c r="F193" i="129"/>
  <c r="F190" i="129"/>
  <c r="F189" i="129"/>
  <c r="F188" i="129"/>
  <c r="F185" i="129"/>
  <c r="F184" i="129"/>
  <c r="F183" i="129"/>
  <c r="G183" i="129" s="1"/>
  <c r="F180" i="129"/>
  <c r="F179" i="129"/>
  <c r="F178" i="129"/>
  <c r="F175" i="129"/>
  <c r="F174" i="129"/>
  <c r="F173" i="129"/>
  <c r="F170" i="129"/>
  <c r="F169" i="129"/>
  <c r="F168" i="129"/>
  <c r="F165" i="129"/>
  <c r="F164" i="129"/>
  <c r="F163" i="129"/>
  <c r="G163" i="129" s="1"/>
  <c r="B161" i="129"/>
  <c r="F156" i="129"/>
  <c r="F155" i="129"/>
  <c r="F154" i="129"/>
  <c r="F153" i="129"/>
  <c r="F152" i="129"/>
  <c r="F149" i="129"/>
  <c r="F148" i="129"/>
  <c r="G148" i="129" s="1"/>
  <c r="F147" i="129"/>
  <c r="G147" i="129" s="1"/>
  <c r="F146" i="129"/>
  <c r="G146" i="129" s="1"/>
  <c r="F145" i="129"/>
  <c r="G145" i="129" s="1"/>
  <c r="F144" i="129"/>
  <c r="F143" i="129"/>
  <c r="F142" i="129"/>
  <c r="F141" i="129"/>
  <c r="F140" i="129"/>
  <c r="F137" i="129"/>
  <c r="G137" i="129" s="1"/>
  <c r="F136" i="129"/>
  <c r="G136" i="129" s="1"/>
  <c r="G133" i="129"/>
  <c r="G132" i="129"/>
  <c r="G131" i="129"/>
  <c r="G130" i="129"/>
  <c r="G129" i="129"/>
  <c r="G128" i="129"/>
  <c r="G127" i="129"/>
  <c r="B125" i="129"/>
  <c r="D59" i="129"/>
  <c r="D58" i="129"/>
  <c r="D107" i="129"/>
  <c r="C107" i="129"/>
  <c r="B103" i="129"/>
  <c r="D100" i="129"/>
  <c r="C100" i="129"/>
  <c r="B93" i="129"/>
  <c r="D90" i="129"/>
  <c r="C90" i="129"/>
  <c r="D77" i="129"/>
  <c r="C77" i="129"/>
  <c r="C59" i="129"/>
  <c r="C28" i="140" s="1"/>
  <c r="D28" i="140" s="1"/>
  <c r="H47" i="129"/>
  <c r="C45" i="129"/>
  <c r="E44" i="129"/>
  <c r="E43" i="129"/>
  <c r="G43" i="129" s="1"/>
  <c r="C41" i="129"/>
  <c r="E40" i="129"/>
  <c r="G40" i="129" s="1"/>
  <c r="E39" i="129"/>
  <c r="G39" i="129" s="1"/>
  <c r="C37" i="129"/>
  <c r="E36" i="129"/>
  <c r="G36" i="129" s="1"/>
  <c r="E35" i="129"/>
  <c r="C33" i="129"/>
  <c r="E32" i="129"/>
  <c r="G32" i="129" s="1"/>
  <c r="E31" i="129"/>
  <c r="G31" i="129" s="1"/>
  <c r="C29" i="129"/>
  <c r="E28" i="129"/>
  <c r="G28" i="129" s="1"/>
  <c r="E27" i="129"/>
  <c r="C25" i="129"/>
  <c r="E24" i="129"/>
  <c r="G24" i="129" s="1"/>
  <c r="E23" i="129"/>
  <c r="G23" i="129" s="1"/>
  <c r="C21" i="129"/>
  <c r="E20" i="129"/>
  <c r="G20" i="129" s="1"/>
  <c r="E19" i="129"/>
  <c r="G19" i="129" s="1"/>
  <c r="E18" i="129"/>
  <c r="G18" i="129" s="1"/>
  <c r="E17" i="129"/>
  <c r="G17" i="129" s="1"/>
  <c r="E16" i="129"/>
  <c r="G16" i="129" s="1"/>
  <c r="C14" i="129"/>
  <c r="E13" i="129"/>
  <c r="G13" i="129" s="1"/>
  <c r="E12" i="129"/>
  <c r="G12" i="129" s="1"/>
  <c r="E11" i="129"/>
  <c r="G11" i="129" s="1"/>
  <c r="E10" i="129"/>
  <c r="G10" i="129" s="1"/>
  <c r="E9" i="129"/>
  <c r="C17" i="14"/>
  <c r="F21" i="139"/>
  <c r="K23" i="140" s="1"/>
  <c r="E45" i="5"/>
  <c r="E63" i="8"/>
  <c r="C22" i="152"/>
  <c r="E19" i="152"/>
  <c r="E20" i="152"/>
  <c r="E18" i="152"/>
  <c r="C46" i="139"/>
  <c r="C47" i="139"/>
  <c r="C48" i="139"/>
  <c r="C45" i="139"/>
  <c r="B53" i="139"/>
  <c r="C14" i="152"/>
  <c r="D11" i="152" s="1"/>
  <c r="D52" i="8"/>
  <c r="C52" i="8"/>
  <c r="C29" i="5"/>
  <c r="C25" i="5"/>
  <c r="C21" i="5"/>
  <c r="C14" i="5"/>
  <c r="C10" i="12"/>
  <c r="C22" i="14" s="1"/>
  <c r="F79" i="9"/>
  <c r="F78" i="9"/>
  <c r="F77" i="9"/>
  <c r="F74" i="9"/>
  <c r="F73" i="9"/>
  <c r="F72" i="9"/>
  <c r="F69" i="9"/>
  <c r="F68" i="9"/>
  <c r="F67" i="9"/>
  <c r="G12" i="9"/>
  <c r="G13" i="9"/>
  <c r="G14" i="9"/>
  <c r="G15" i="9"/>
  <c r="G16" i="9"/>
  <c r="G17" i="9"/>
  <c r="G11" i="9"/>
  <c r="D13" i="141"/>
  <c r="B17" i="140" s="1"/>
  <c r="D12" i="141"/>
  <c r="B48" i="8" s="1"/>
  <c r="C33" i="5"/>
  <c r="E32" i="5"/>
  <c r="G32" i="5" s="1"/>
  <c r="E31" i="5"/>
  <c r="H47" i="5"/>
  <c r="C41" i="5"/>
  <c r="E40" i="5"/>
  <c r="G40" i="5" s="1"/>
  <c r="E39" i="5"/>
  <c r="C37" i="5"/>
  <c r="E36" i="5"/>
  <c r="G36" i="5" s="1"/>
  <c r="E35" i="5"/>
  <c r="E37" i="5" s="1"/>
  <c r="E9" i="5"/>
  <c r="G9" i="5" s="1"/>
  <c r="E10" i="5"/>
  <c r="G10" i="5" s="1"/>
  <c r="E11" i="5"/>
  <c r="G11" i="5" s="1"/>
  <c r="E12" i="5"/>
  <c r="G12" i="5" s="1"/>
  <c r="E13" i="5"/>
  <c r="G13" i="5" s="1"/>
  <c r="E16" i="5"/>
  <c r="G16" i="5" s="1"/>
  <c r="E17" i="5"/>
  <c r="G17" i="5" s="1"/>
  <c r="E18" i="5"/>
  <c r="G18" i="5" s="1"/>
  <c r="E19" i="5"/>
  <c r="G19" i="5" s="1"/>
  <c r="E20" i="5"/>
  <c r="G20" i="5" s="1"/>
  <c r="E23" i="5"/>
  <c r="G23" i="5" s="1"/>
  <c r="E24" i="5"/>
  <c r="G24" i="5" s="1"/>
  <c r="E27" i="5"/>
  <c r="G27" i="5" s="1"/>
  <c r="E28" i="5"/>
  <c r="G28" i="5" s="1"/>
  <c r="E43" i="5"/>
  <c r="G43" i="5" s="1"/>
  <c r="E44" i="5"/>
  <c r="G44" i="5" s="1"/>
  <c r="F20" i="9"/>
  <c r="F21" i="9"/>
  <c r="F24" i="9"/>
  <c r="F25" i="9"/>
  <c r="F26" i="9"/>
  <c r="F27" i="9"/>
  <c r="F28" i="9"/>
  <c r="F29" i="9"/>
  <c r="F30" i="9"/>
  <c r="F31" i="9"/>
  <c r="F32" i="9"/>
  <c r="F33" i="9"/>
  <c r="F36" i="9"/>
  <c r="F37" i="9"/>
  <c r="F38" i="9"/>
  <c r="F39" i="9"/>
  <c r="F40" i="9"/>
  <c r="F47" i="9"/>
  <c r="F48" i="9"/>
  <c r="F49" i="9"/>
  <c r="F52" i="9"/>
  <c r="F53" i="9"/>
  <c r="F54" i="9"/>
  <c r="F57" i="9"/>
  <c r="F58" i="9"/>
  <c r="F59" i="9"/>
  <c r="F62" i="9"/>
  <c r="F63" i="9"/>
  <c r="F64" i="9"/>
  <c r="F82" i="9"/>
  <c r="F83" i="9"/>
  <c r="F84" i="9"/>
  <c r="J25" i="142"/>
  <c r="H26" i="142"/>
  <c r="J26" i="142" s="1"/>
  <c r="J27" i="142"/>
  <c r="H28" i="142"/>
  <c r="J28" i="142" s="1"/>
  <c r="H29" i="142"/>
  <c r="J29" i="142" s="1"/>
  <c r="C22" i="8"/>
  <c r="D22" i="8"/>
  <c r="C35" i="8"/>
  <c r="D35" i="8"/>
  <c r="C45" i="8"/>
  <c r="D45" i="8"/>
  <c r="C13" i="142"/>
  <c r="C12" i="10"/>
  <c r="C20" i="10"/>
  <c r="C26" i="10"/>
  <c r="C32" i="10"/>
  <c r="C42" i="10"/>
  <c r="C47" i="10"/>
  <c r="C56" i="10"/>
  <c r="C63" i="10"/>
  <c r="C67" i="10"/>
  <c r="F50" i="11"/>
  <c r="H11" i="142"/>
  <c r="H10" i="142"/>
  <c r="B1" i="141"/>
  <c r="C65" i="11"/>
  <c r="B4" i="12"/>
  <c r="B54" i="139"/>
  <c r="B12" i="140"/>
  <c r="E16" i="14"/>
  <c r="B16" i="14"/>
  <c r="C45" i="5"/>
  <c r="C36" i="11"/>
  <c r="C81" i="11"/>
  <c r="C74" i="11"/>
  <c r="C70" i="11"/>
  <c r="C44" i="11"/>
  <c r="C28" i="11"/>
  <c r="C21" i="11"/>
  <c r="B1" i="9"/>
  <c r="B1" i="5"/>
  <c r="B1" i="12"/>
  <c r="B1" i="8"/>
  <c r="J30" i="142" l="1"/>
  <c r="C24" i="142" s="1"/>
  <c r="C28" i="142" s="1"/>
  <c r="C31" i="142" s="1"/>
  <c r="E16" i="140"/>
  <c r="H63" i="140"/>
  <c r="S75" i="140"/>
  <c r="S80" i="140"/>
  <c r="S87" i="140"/>
  <c r="S92" i="140"/>
  <c r="S99" i="140"/>
  <c r="S104" i="140"/>
  <c r="K44" i="140"/>
  <c r="H62" i="140"/>
  <c r="P92" i="140" s="1"/>
  <c r="G153" i="162"/>
  <c r="G174" i="162"/>
  <c r="G140" i="162"/>
  <c r="G169" i="161"/>
  <c r="G188" i="161"/>
  <c r="C104" i="140"/>
  <c r="D104" i="140" s="1"/>
  <c r="G196" i="161"/>
  <c r="G152" i="161"/>
  <c r="G157" i="161" s="1"/>
  <c r="G170" i="161"/>
  <c r="G189" i="161"/>
  <c r="G191" i="161" s="1"/>
  <c r="G153" i="161"/>
  <c r="G173" i="161"/>
  <c r="G142" i="161"/>
  <c r="G154" i="161"/>
  <c r="G152" i="160"/>
  <c r="G170" i="160"/>
  <c r="G189" i="160"/>
  <c r="G140" i="160"/>
  <c r="G153" i="160"/>
  <c r="G148" i="159"/>
  <c r="G189" i="159"/>
  <c r="G136" i="159"/>
  <c r="G138" i="159" s="1"/>
  <c r="G173" i="159"/>
  <c r="G190" i="159"/>
  <c r="G191" i="159" s="1"/>
  <c r="G174" i="159"/>
  <c r="G153" i="159"/>
  <c r="G154" i="159"/>
  <c r="G175" i="159"/>
  <c r="G194" i="159"/>
  <c r="G195" i="159"/>
  <c r="G141" i="159"/>
  <c r="G142" i="159"/>
  <c r="G156" i="159"/>
  <c r="G179" i="159"/>
  <c r="G180" i="159"/>
  <c r="G199" i="159"/>
  <c r="C82" i="140"/>
  <c r="G155" i="159"/>
  <c r="G144" i="159"/>
  <c r="C59" i="159"/>
  <c r="C83" i="140" s="1"/>
  <c r="D83" i="140" s="1"/>
  <c r="G145" i="159"/>
  <c r="G146" i="159"/>
  <c r="G185" i="159"/>
  <c r="G164" i="158"/>
  <c r="G168" i="158"/>
  <c r="G152" i="158"/>
  <c r="G173" i="158"/>
  <c r="G176" i="158" s="1"/>
  <c r="G141" i="157"/>
  <c r="G199" i="157"/>
  <c r="G180" i="157"/>
  <c r="G200" i="157"/>
  <c r="G146" i="157"/>
  <c r="G184" i="157"/>
  <c r="G147" i="157"/>
  <c r="G164" i="157"/>
  <c r="G165" i="157"/>
  <c r="G189" i="157"/>
  <c r="G170" i="156"/>
  <c r="G189" i="156"/>
  <c r="G148" i="156"/>
  <c r="G174" i="156"/>
  <c r="G189" i="155"/>
  <c r="G174" i="155"/>
  <c r="G141" i="155"/>
  <c r="C59" i="155"/>
  <c r="C39" i="140" s="1"/>
  <c r="E39" i="140" s="1"/>
  <c r="E14" i="162"/>
  <c r="G180" i="162"/>
  <c r="G31" i="162"/>
  <c r="G33" i="162" s="1"/>
  <c r="G164" i="162"/>
  <c r="G183" i="162"/>
  <c r="G200" i="162"/>
  <c r="G199" i="162"/>
  <c r="G147" i="162"/>
  <c r="G165" i="162"/>
  <c r="G184" i="162"/>
  <c r="G136" i="162"/>
  <c r="G148" i="162"/>
  <c r="G168" i="162"/>
  <c r="G171" i="162" s="1"/>
  <c r="G185" i="162"/>
  <c r="C115" i="140"/>
  <c r="D115" i="140" s="1"/>
  <c r="G137" i="162"/>
  <c r="G149" i="162"/>
  <c r="G188" i="162"/>
  <c r="G191" i="162" s="1"/>
  <c r="G152" i="162"/>
  <c r="G170" i="162"/>
  <c r="E25" i="162"/>
  <c r="G141" i="162"/>
  <c r="G190" i="162"/>
  <c r="G169" i="162"/>
  <c r="C109" i="162"/>
  <c r="C110" i="162" s="1"/>
  <c r="G134" i="162"/>
  <c r="G142" i="162"/>
  <c r="G154" i="162"/>
  <c r="D109" i="162"/>
  <c r="D110" i="162" s="1"/>
  <c r="F119" i="162" s="1"/>
  <c r="G143" i="162"/>
  <c r="G155" i="162"/>
  <c r="G175" i="162"/>
  <c r="G194" i="162"/>
  <c r="E41" i="162"/>
  <c r="G144" i="162"/>
  <c r="F157" i="162"/>
  <c r="F181" i="162"/>
  <c r="G195" i="162"/>
  <c r="G173" i="162"/>
  <c r="E29" i="162"/>
  <c r="G145" i="162"/>
  <c r="G179" i="162"/>
  <c r="G198" i="162"/>
  <c r="G14" i="161"/>
  <c r="G134" i="161"/>
  <c r="F171" i="161"/>
  <c r="E45" i="161"/>
  <c r="D109" i="161"/>
  <c r="D110" i="161" s="1"/>
  <c r="F119" i="161" s="1"/>
  <c r="G44" i="161"/>
  <c r="G147" i="161"/>
  <c r="F176" i="161"/>
  <c r="G31" i="161"/>
  <c r="G33" i="161" s="1"/>
  <c r="E21" i="161"/>
  <c r="G136" i="161"/>
  <c r="G138" i="161" s="1"/>
  <c r="G148" i="161"/>
  <c r="G163" i="161"/>
  <c r="F181" i="161"/>
  <c r="G190" i="161"/>
  <c r="E41" i="161"/>
  <c r="G16" i="161"/>
  <c r="G137" i="161"/>
  <c r="G178" i="161"/>
  <c r="G181" i="161" s="1"/>
  <c r="F196" i="161"/>
  <c r="C59" i="161"/>
  <c r="C105" i="140" s="1"/>
  <c r="D105" i="140" s="1"/>
  <c r="G140" i="161"/>
  <c r="G150" i="161" s="1"/>
  <c r="G149" i="161"/>
  <c r="G164" i="161"/>
  <c r="E14" i="161"/>
  <c r="G41" i="161"/>
  <c r="G141" i="161"/>
  <c r="G165" i="161"/>
  <c r="E33" i="160"/>
  <c r="G166" i="160"/>
  <c r="G181" i="160"/>
  <c r="G137" i="160"/>
  <c r="G149" i="160"/>
  <c r="F171" i="160"/>
  <c r="F186" i="160"/>
  <c r="G200" i="160"/>
  <c r="G201" i="160" s="1"/>
  <c r="G188" i="160"/>
  <c r="E25" i="160"/>
  <c r="G134" i="160"/>
  <c r="F134" i="160" s="1"/>
  <c r="G142" i="160"/>
  <c r="G173" i="160"/>
  <c r="D109" i="160"/>
  <c r="D110" i="160" s="1"/>
  <c r="F119" i="160" s="1"/>
  <c r="G143" i="160"/>
  <c r="G150" i="160" s="1"/>
  <c r="G155" i="160"/>
  <c r="E21" i="160"/>
  <c r="G144" i="160"/>
  <c r="G156" i="160"/>
  <c r="G190" i="160"/>
  <c r="G145" i="160"/>
  <c r="F176" i="160"/>
  <c r="F196" i="160"/>
  <c r="E29" i="160"/>
  <c r="G146" i="160"/>
  <c r="F166" i="160"/>
  <c r="F181" i="160"/>
  <c r="G194" i="160"/>
  <c r="G134" i="159"/>
  <c r="F196" i="159"/>
  <c r="E25" i="159"/>
  <c r="D109" i="159"/>
  <c r="D110" i="159" s="1"/>
  <c r="F119" i="159" s="1"/>
  <c r="F150" i="159"/>
  <c r="E29" i="159"/>
  <c r="E45" i="159"/>
  <c r="G164" i="159"/>
  <c r="G183" i="159"/>
  <c r="G200" i="159"/>
  <c r="E33" i="159"/>
  <c r="G165" i="159"/>
  <c r="G184" i="159"/>
  <c r="E82" i="140"/>
  <c r="E14" i="159"/>
  <c r="G137" i="159"/>
  <c r="G149" i="159"/>
  <c r="G169" i="159"/>
  <c r="G188" i="159"/>
  <c r="E37" i="159"/>
  <c r="G140" i="159"/>
  <c r="G152" i="159"/>
  <c r="G170" i="159"/>
  <c r="E25" i="158"/>
  <c r="F186" i="158"/>
  <c r="G147" i="158"/>
  <c r="G165" i="158"/>
  <c r="G184" i="158"/>
  <c r="E21" i="158"/>
  <c r="G137" i="158"/>
  <c r="G149" i="158"/>
  <c r="G169" i="158"/>
  <c r="G171" i="158" s="1"/>
  <c r="G188" i="158"/>
  <c r="C71" i="140"/>
  <c r="E71" i="140" s="1"/>
  <c r="G141" i="158"/>
  <c r="G190" i="158"/>
  <c r="C109" i="158"/>
  <c r="C110" i="158" s="1"/>
  <c r="G134" i="158"/>
  <c r="G142" i="158"/>
  <c r="G154" i="158"/>
  <c r="F196" i="158"/>
  <c r="E14" i="158"/>
  <c r="G47" i="158" s="1"/>
  <c r="E29" i="158"/>
  <c r="G31" i="158"/>
  <c r="G33" i="158" s="1"/>
  <c r="G145" i="158"/>
  <c r="G179" i="158"/>
  <c r="G198" i="158"/>
  <c r="G201" i="158" s="1"/>
  <c r="F138" i="157"/>
  <c r="G148" i="157"/>
  <c r="F171" i="157"/>
  <c r="G185" i="157"/>
  <c r="C60" i="140"/>
  <c r="G137" i="157"/>
  <c r="G149" i="157"/>
  <c r="G169" i="157"/>
  <c r="G188" i="157"/>
  <c r="G140" i="157"/>
  <c r="G152" i="157"/>
  <c r="G170" i="157"/>
  <c r="G153" i="157"/>
  <c r="G23" i="157"/>
  <c r="C59" i="157"/>
  <c r="C61" i="140" s="1"/>
  <c r="E61" i="140" s="1"/>
  <c r="G173" i="157"/>
  <c r="G190" i="157"/>
  <c r="E45" i="157"/>
  <c r="D109" i="157"/>
  <c r="D110" i="157" s="1"/>
  <c r="F119" i="157" s="1"/>
  <c r="G143" i="157"/>
  <c r="G155" i="157"/>
  <c r="G175" i="157"/>
  <c r="G194" i="157"/>
  <c r="C109" i="157"/>
  <c r="C110" i="157" s="1"/>
  <c r="G142" i="157"/>
  <c r="G174" i="157"/>
  <c r="G144" i="157"/>
  <c r="F157" i="157"/>
  <c r="F181" i="157"/>
  <c r="G195" i="157"/>
  <c r="G134" i="157"/>
  <c r="E21" i="157"/>
  <c r="G145" i="157"/>
  <c r="G179" i="157"/>
  <c r="G198" i="157"/>
  <c r="G147" i="156"/>
  <c r="G165" i="156"/>
  <c r="G180" i="156"/>
  <c r="G195" i="156"/>
  <c r="G23" i="156"/>
  <c r="G149" i="156"/>
  <c r="G169" i="156"/>
  <c r="G184" i="156"/>
  <c r="G199" i="156"/>
  <c r="E45" i="156"/>
  <c r="E37" i="156"/>
  <c r="F138" i="156"/>
  <c r="G152" i="156"/>
  <c r="G137" i="156"/>
  <c r="G153" i="156"/>
  <c r="G31" i="156"/>
  <c r="G33" i="156" s="1"/>
  <c r="G154" i="156"/>
  <c r="G173" i="156"/>
  <c r="G188" i="156"/>
  <c r="E21" i="156"/>
  <c r="G47" i="156" s="1"/>
  <c r="G140" i="156"/>
  <c r="C59" i="156"/>
  <c r="C50" i="140" s="1"/>
  <c r="E50" i="140" s="1"/>
  <c r="G141" i="156"/>
  <c r="G155" i="156"/>
  <c r="C109" i="156"/>
  <c r="C110" i="156" s="1"/>
  <c r="G134" i="156"/>
  <c r="G143" i="156"/>
  <c r="F176" i="156"/>
  <c r="F191" i="156"/>
  <c r="F196" i="156"/>
  <c r="E14" i="156"/>
  <c r="G9" i="156"/>
  <c r="G14" i="156" s="1"/>
  <c r="E41" i="156"/>
  <c r="G144" i="156"/>
  <c r="F166" i="156"/>
  <c r="F181" i="156"/>
  <c r="G145" i="156"/>
  <c r="G163" i="156"/>
  <c r="G166" i="156" s="1"/>
  <c r="G178" i="156"/>
  <c r="G193" i="156"/>
  <c r="G196" i="156" s="1"/>
  <c r="E38" i="140"/>
  <c r="D38" i="140"/>
  <c r="G200" i="155"/>
  <c r="G137" i="155"/>
  <c r="G153" i="155"/>
  <c r="G170" i="155"/>
  <c r="G185" i="155"/>
  <c r="G140" i="155"/>
  <c r="G154" i="155"/>
  <c r="G173" i="155"/>
  <c r="G188" i="155"/>
  <c r="F191" i="155"/>
  <c r="E25" i="155"/>
  <c r="F196" i="155"/>
  <c r="C109" i="155"/>
  <c r="C110" i="155" s="1"/>
  <c r="G175" i="155"/>
  <c r="G193" i="155"/>
  <c r="G142" i="155"/>
  <c r="G144" i="155"/>
  <c r="G194" i="155"/>
  <c r="G195" i="155"/>
  <c r="G145" i="155"/>
  <c r="D110" i="155"/>
  <c r="F119" i="155" s="1"/>
  <c r="G163" i="155"/>
  <c r="G164" i="155"/>
  <c r="G165" i="155"/>
  <c r="G149" i="155"/>
  <c r="G169" i="155"/>
  <c r="G184" i="155"/>
  <c r="G199" i="155"/>
  <c r="F157" i="155"/>
  <c r="G143" i="155"/>
  <c r="G178" i="155"/>
  <c r="G146" i="155"/>
  <c r="G179" i="155"/>
  <c r="E29" i="155"/>
  <c r="G147" i="155"/>
  <c r="G180" i="155"/>
  <c r="G148" i="155"/>
  <c r="G168" i="155"/>
  <c r="E14" i="155"/>
  <c r="G136" i="155"/>
  <c r="G138" i="155" s="1"/>
  <c r="G152" i="155"/>
  <c r="D27" i="140"/>
  <c r="B38" i="8"/>
  <c r="B9" i="9"/>
  <c r="B45" i="9"/>
  <c r="H14" i="142"/>
  <c r="H15" i="142" s="1"/>
  <c r="F119" i="158"/>
  <c r="F119" i="156"/>
  <c r="K89" i="140"/>
  <c r="K56" i="140"/>
  <c r="S110" i="140"/>
  <c r="S98" i="140"/>
  <c r="S86" i="140"/>
  <c r="S74" i="140"/>
  <c r="S109" i="140"/>
  <c r="S97" i="140"/>
  <c r="S85" i="140"/>
  <c r="S73" i="140"/>
  <c r="S108" i="140"/>
  <c r="S96" i="140"/>
  <c r="S84" i="140"/>
  <c r="S72" i="140"/>
  <c r="S107" i="140"/>
  <c r="S95" i="140"/>
  <c r="S83" i="140"/>
  <c r="S71" i="140"/>
  <c r="H89" i="140"/>
  <c r="S106" i="140"/>
  <c r="S94" i="140"/>
  <c r="S82" i="140"/>
  <c r="S105" i="140"/>
  <c r="S93" i="140"/>
  <c r="S81" i="140"/>
  <c r="P104" i="140"/>
  <c r="S103" i="140"/>
  <c r="S91" i="140"/>
  <c r="S79" i="140"/>
  <c r="S102" i="140"/>
  <c r="S90" i="140"/>
  <c r="S78" i="140"/>
  <c r="S101" i="140"/>
  <c r="S89" i="140"/>
  <c r="S77" i="140"/>
  <c r="S100" i="140"/>
  <c r="S88" i="140"/>
  <c r="S76" i="140"/>
  <c r="E116" i="140"/>
  <c r="D72" i="140"/>
  <c r="D116" i="140"/>
  <c r="E28" i="140"/>
  <c r="E49" i="140"/>
  <c r="D60" i="140"/>
  <c r="D93" i="140"/>
  <c r="E60" i="140"/>
  <c r="E93" i="140"/>
  <c r="E94" i="140"/>
  <c r="D49" i="140"/>
  <c r="D82" i="140"/>
  <c r="D16" i="140"/>
  <c r="D39" i="140"/>
  <c r="E72" i="140"/>
  <c r="D18" i="140"/>
  <c r="E18" i="140"/>
  <c r="F134" i="162"/>
  <c r="G45" i="162"/>
  <c r="G21" i="162"/>
  <c r="G29" i="162"/>
  <c r="G37" i="162"/>
  <c r="G25" i="162"/>
  <c r="G40" i="162"/>
  <c r="G41" i="162" s="1"/>
  <c r="F176" i="162"/>
  <c r="F191" i="162"/>
  <c r="G156" i="162"/>
  <c r="F150" i="162"/>
  <c r="E21" i="162"/>
  <c r="G47" i="162" s="1"/>
  <c r="E45" i="162"/>
  <c r="F138" i="162"/>
  <c r="G9" i="162"/>
  <c r="G163" i="162"/>
  <c r="G178" i="162"/>
  <c r="G193" i="162"/>
  <c r="G196" i="162" s="1"/>
  <c r="F171" i="162"/>
  <c r="F186" i="162"/>
  <c r="F201" i="162"/>
  <c r="E37" i="162"/>
  <c r="G45" i="161"/>
  <c r="F134" i="161"/>
  <c r="G47" i="161"/>
  <c r="G21" i="161"/>
  <c r="E29" i="161"/>
  <c r="G29" i="161"/>
  <c r="G35" i="161"/>
  <c r="F150" i="161"/>
  <c r="F157" i="161"/>
  <c r="G168" i="161"/>
  <c r="G175" i="161"/>
  <c r="G183" i="161"/>
  <c r="G186" i="161" s="1"/>
  <c r="G198" i="161"/>
  <c r="G201" i="161" s="1"/>
  <c r="G25" i="161"/>
  <c r="F191" i="161"/>
  <c r="G29" i="160"/>
  <c r="G37" i="160"/>
  <c r="G25" i="160"/>
  <c r="F157" i="160"/>
  <c r="G136" i="160"/>
  <c r="G138" i="160" s="1"/>
  <c r="G183" i="160"/>
  <c r="G186" i="160" s="1"/>
  <c r="G9" i="160"/>
  <c r="E41" i="160"/>
  <c r="G193" i="160"/>
  <c r="G168" i="160"/>
  <c r="G171" i="160" s="1"/>
  <c r="F191" i="160"/>
  <c r="C109" i="160"/>
  <c r="C110" i="160" s="1"/>
  <c r="G41" i="160"/>
  <c r="F201" i="160"/>
  <c r="G44" i="160"/>
  <c r="F150" i="160"/>
  <c r="G31" i="160"/>
  <c r="E37" i="160"/>
  <c r="G175" i="160"/>
  <c r="G176" i="160" s="1"/>
  <c r="G16" i="160"/>
  <c r="F134" i="159"/>
  <c r="G25" i="159"/>
  <c r="G29" i="159"/>
  <c r="G21" i="159"/>
  <c r="G171" i="159"/>
  <c r="G44" i="159"/>
  <c r="G45" i="159" s="1"/>
  <c r="G143" i="159"/>
  <c r="G198" i="159"/>
  <c r="F176" i="159"/>
  <c r="G9" i="159"/>
  <c r="E41" i="159"/>
  <c r="G163" i="159"/>
  <c r="G178" i="159"/>
  <c r="G181" i="159" s="1"/>
  <c r="G193" i="159"/>
  <c r="F157" i="159"/>
  <c r="C109" i="159"/>
  <c r="C110" i="159" s="1"/>
  <c r="G41" i="159"/>
  <c r="F171" i="159"/>
  <c r="F186" i="159"/>
  <c r="G35" i="159"/>
  <c r="F191" i="159"/>
  <c r="G31" i="159"/>
  <c r="E21" i="159"/>
  <c r="F138" i="159"/>
  <c r="F134" i="158"/>
  <c r="G29" i="158"/>
  <c r="G41" i="158"/>
  <c r="F150" i="158"/>
  <c r="G25" i="158"/>
  <c r="G40" i="158"/>
  <c r="F176" i="158"/>
  <c r="F191" i="158"/>
  <c r="G16" i="158"/>
  <c r="G44" i="158"/>
  <c r="G136" i="158"/>
  <c r="G35" i="158"/>
  <c r="F157" i="158"/>
  <c r="G183" i="158"/>
  <c r="G186" i="158" s="1"/>
  <c r="G9" i="158"/>
  <c r="G163" i="158"/>
  <c r="G178" i="158"/>
  <c r="G193" i="158"/>
  <c r="G196" i="158" s="1"/>
  <c r="F171" i="158"/>
  <c r="F201" i="158"/>
  <c r="G29" i="157"/>
  <c r="G25" i="157"/>
  <c r="G45" i="157"/>
  <c r="F134" i="157"/>
  <c r="G47" i="157"/>
  <c r="G136" i="157"/>
  <c r="F150" i="157"/>
  <c r="G183" i="157"/>
  <c r="F191" i="157"/>
  <c r="G9" i="157"/>
  <c r="E41" i="157"/>
  <c r="G163" i="157"/>
  <c r="G178" i="157"/>
  <c r="G193" i="157"/>
  <c r="G168" i="157"/>
  <c r="G171" i="157" s="1"/>
  <c r="F176" i="157"/>
  <c r="F201" i="157"/>
  <c r="G16" i="157"/>
  <c r="G44" i="157"/>
  <c r="G35" i="157"/>
  <c r="G156" i="157"/>
  <c r="G31" i="157"/>
  <c r="F134" i="156"/>
  <c r="G29" i="156"/>
  <c r="G16" i="156"/>
  <c r="G44" i="156"/>
  <c r="G136" i="156"/>
  <c r="F150" i="156"/>
  <c r="F157" i="156"/>
  <c r="G168" i="156"/>
  <c r="G175" i="156"/>
  <c r="G176" i="156" s="1"/>
  <c r="G183" i="156"/>
  <c r="G190" i="156"/>
  <c r="G198" i="156"/>
  <c r="G25" i="156"/>
  <c r="G40" i="156"/>
  <c r="G29" i="155"/>
  <c r="F134" i="155"/>
  <c r="G45" i="155"/>
  <c r="G21" i="155"/>
  <c r="G25" i="155"/>
  <c r="G41" i="155"/>
  <c r="F150" i="155"/>
  <c r="E21" i="155"/>
  <c r="G31" i="155"/>
  <c r="E45" i="155"/>
  <c r="F138" i="155"/>
  <c r="G190" i="155"/>
  <c r="G35" i="155"/>
  <c r="G198" i="155"/>
  <c r="F176" i="155"/>
  <c r="G9" i="155"/>
  <c r="E41" i="155"/>
  <c r="G183" i="155"/>
  <c r="F171" i="155"/>
  <c r="G156" i="155"/>
  <c r="G141" i="129"/>
  <c r="G155" i="129"/>
  <c r="G178" i="129"/>
  <c r="G198" i="129"/>
  <c r="G142" i="129"/>
  <c r="G156" i="129"/>
  <c r="G179" i="129"/>
  <c r="G199" i="129"/>
  <c r="G201" i="129" s="1"/>
  <c r="G180" i="129"/>
  <c r="G200" i="129"/>
  <c r="G173" i="129"/>
  <c r="G193" i="129"/>
  <c r="G144" i="129"/>
  <c r="G140" i="129"/>
  <c r="G175" i="129"/>
  <c r="G195" i="129"/>
  <c r="G143" i="129"/>
  <c r="G149" i="129"/>
  <c r="G154" i="129"/>
  <c r="G174" i="129"/>
  <c r="G194" i="129"/>
  <c r="G165" i="129"/>
  <c r="G190" i="129"/>
  <c r="G189" i="129"/>
  <c r="G153" i="129"/>
  <c r="G164" i="129"/>
  <c r="G188" i="129"/>
  <c r="G170" i="129"/>
  <c r="G152" i="129"/>
  <c r="G184" i="129"/>
  <c r="G185" i="129"/>
  <c r="G186" i="129" s="1"/>
  <c r="G168" i="129"/>
  <c r="G169" i="129"/>
  <c r="F166" i="129"/>
  <c r="F176" i="129"/>
  <c r="G134" i="129"/>
  <c r="F134" i="129" s="1"/>
  <c r="F191" i="129"/>
  <c r="F196" i="129"/>
  <c r="G138" i="129"/>
  <c r="F201" i="129"/>
  <c r="F181" i="129"/>
  <c r="F186" i="129"/>
  <c r="F150" i="129"/>
  <c r="F157" i="129"/>
  <c r="F138" i="129"/>
  <c r="F171" i="129"/>
  <c r="C109" i="129"/>
  <c r="C110" i="129" s="1"/>
  <c r="D109" i="129"/>
  <c r="D110" i="129" s="1"/>
  <c r="F119" i="129" s="1"/>
  <c r="E37" i="129"/>
  <c r="E33" i="129"/>
  <c r="E29" i="129"/>
  <c r="G27" i="129"/>
  <c r="G29" i="129" s="1"/>
  <c r="E45" i="129"/>
  <c r="E14" i="129"/>
  <c r="G9" i="129"/>
  <c r="G14" i="129" s="1"/>
  <c r="G41" i="129"/>
  <c r="G21" i="129"/>
  <c r="G25" i="129"/>
  <c r="G33" i="129"/>
  <c r="G44" i="129"/>
  <c r="E25" i="129"/>
  <c r="G35" i="129"/>
  <c r="E21" i="129"/>
  <c r="E41" i="129"/>
  <c r="G74" i="9"/>
  <c r="F52" i="8"/>
  <c r="C54" i="8"/>
  <c r="D54" i="8"/>
  <c r="G27" i="9"/>
  <c r="G26" i="9"/>
  <c r="G40" i="9"/>
  <c r="G67" i="9"/>
  <c r="G39" i="9"/>
  <c r="G73" i="9"/>
  <c r="G36" i="9"/>
  <c r="G20" i="9"/>
  <c r="C13" i="141"/>
  <c r="C17" i="140" s="1"/>
  <c r="D17" i="140" s="1"/>
  <c r="G25" i="9"/>
  <c r="G77" i="9"/>
  <c r="G79" i="9"/>
  <c r="G47" i="9"/>
  <c r="G78" i="9"/>
  <c r="G53" i="9"/>
  <c r="G82" i="9"/>
  <c r="G57" i="9"/>
  <c r="G84" i="9"/>
  <c r="G59" i="9"/>
  <c r="G83" i="9"/>
  <c r="C55" i="8"/>
  <c r="G58" i="9"/>
  <c r="G62" i="9"/>
  <c r="G38" i="9"/>
  <c r="G24" i="9"/>
  <c r="G33" i="9"/>
  <c r="G64" i="9"/>
  <c r="G37" i="9"/>
  <c r="G21" i="9"/>
  <c r="G28" i="9"/>
  <c r="G63" i="9"/>
  <c r="F83" i="11"/>
  <c r="C25" i="139" s="1"/>
  <c r="H27" i="140" s="1"/>
  <c r="H93" i="140" s="1"/>
  <c r="E33" i="5"/>
  <c r="G32" i="9"/>
  <c r="G49" i="9"/>
  <c r="G69" i="9"/>
  <c r="G31" i="9"/>
  <c r="G48" i="9"/>
  <c r="G68" i="9"/>
  <c r="G30" i="9"/>
  <c r="G52" i="9"/>
  <c r="G72" i="9"/>
  <c r="G29" i="9"/>
  <c r="G54" i="9"/>
  <c r="C69" i="10"/>
  <c r="F14" i="139" s="1"/>
  <c r="K16" i="140" s="1"/>
  <c r="K82" i="140" s="1"/>
  <c r="E22" i="152"/>
  <c r="D10" i="152"/>
  <c r="D14" i="152"/>
  <c r="D13" i="152"/>
  <c r="D12" i="152"/>
  <c r="F81" i="11"/>
  <c r="F44" i="11"/>
  <c r="F28" i="11"/>
  <c r="F74" i="11"/>
  <c r="F36" i="11"/>
  <c r="F21" i="11"/>
  <c r="F70" i="11"/>
  <c r="F75" i="9"/>
  <c r="F80" i="9"/>
  <c r="F70" i="9"/>
  <c r="F41" i="9"/>
  <c r="G18" i="9"/>
  <c r="F18" i="9" s="1"/>
  <c r="F34" i="9"/>
  <c r="F65" i="9"/>
  <c r="F85" i="9"/>
  <c r="F50" i="9"/>
  <c r="F22" i="9"/>
  <c r="F60" i="9"/>
  <c r="F55" i="9"/>
  <c r="G31" i="5"/>
  <c r="E41" i="5"/>
  <c r="E25" i="5"/>
  <c r="G39" i="5"/>
  <c r="G35" i="5"/>
  <c r="E21" i="5"/>
  <c r="E29" i="5"/>
  <c r="E14" i="5"/>
  <c r="G29" i="5"/>
  <c r="G25" i="5"/>
  <c r="G14" i="5"/>
  <c r="G21" i="5"/>
  <c r="G45" i="5"/>
  <c r="E62" i="8" l="1"/>
  <c r="F116" i="162"/>
  <c r="F116" i="156"/>
  <c r="F116" i="161"/>
  <c r="F116" i="155"/>
  <c r="F116" i="160"/>
  <c r="F118" i="160" s="1"/>
  <c r="F116" i="159"/>
  <c r="F118" i="159" s="1"/>
  <c r="F116" i="129"/>
  <c r="F116" i="158"/>
  <c r="F116" i="157"/>
  <c r="P90" i="140"/>
  <c r="P102" i="140"/>
  <c r="P78" i="140"/>
  <c r="P80" i="140"/>
  <c r="P107" i="140"/>
  <c r="P87" i="140"/>
  <c r="P94" i="140"/>
  <c r="P76" i="140"/>
  <c r="P82" i="140"/>
  <c r="P88" i="140"/>
  <c r="P93" i="140"/>
  <c r="P73" i="140"/>
  <c r="P81" i="140"/>
  <c r="P85" i="140"/>
  <c r="P100" i="140"/>
  <c r="P105" i="140"/>
  <c r="P106" i="140"/>
  <c r="P97" i="140"/>
  <c r="P75" i="140"/>
  <c r="P99" i="140"/>
  <c r="P109" i="140"/>
  <c r="P77" i="140"/>
  <c r="P79" i="140"/>
  <c r="P72" i="140"/>
  <c r="P74" i="140"/>
  <c r="P89" i="140"/>
  <c r="P91" i="140"/>
  <c r="P84" i="140"/>
  <c r="P86" i="140"/>
  <c r="P101" i="140"/>
  <c r="P103" i="140"/>
  <c r="P96" i="140"/>
  <c r="P98" i="140"/>
  <c r="P71" i="140"/>
  <c r="P108" i="140"/>
  <c r="P110" i="140"/>
  <c r="P83" i="140"/>
  <c r="P95" i="140"/>
  <c r="E105" i="140"/>
  <c r="D50" i="140"/>
  <c r="G166" i="162"/>
  <c r="E115" i="140"/>
  <c r="E104" i="140"/>
  <c r="G166" i="161"/>
  <c r="G196" i="160"/>
  <c r="G157" i="160"/>
  <c r="G191" i="160"/>
  <c r="G176" i="159"/>
  <c r="G157" i="158"/>
  <c r="G191" i="157"/>
  <c r="G171" i="156"/>
  <c r="G138" i="156"/>
  <c r="G150" i="155"/>
  <c r="G181" i="162"/>
  <c r="G201" i="162"/>
  <c r="G138" i="162"/>
  <c r="G157" i="162"/>
  <c r="G150" i="162"/>
  <c r="G176" i="161"/>
  <c r="G171" i="161"/>
  <c r="G196" i="159"/>
  <c r="E83" i="140"/>
  <c r="G157" i="159"/>
  <c r="G150" i="159"/>
  <c r="G186" i="159"/>
  <c r="G191" i="158"/>
  <c r="G181" i="158"/>
  <c r="G138" i="158"/>
  <c r="G150" i="157"/>
  <c r="G196" i="157"/>
  <c r="G166" i="157"/>
  <c r="D61" i="140"/>
  <c r="G201" i="157"/>
  <c r="G181" i="156"/>
  <c r="G204" i="156" s="1"/>
  <c r="G150" i="156"/>
  <c r="G191" i="156"/>
  <c r="G186" i="156"/>
  <c r="G157" i="155"/>
  <c r="G171" i="155"/>
  <c r="G186" i="155"/>
  <c r="G181" i="155"/>
  <c r="G176" i="155"/>
  <c r="G186" i="162"/>
  <c r="G176" i="162"/>
  <c r="G204" i="162" s="1"/>
  <c r="G204" i="161"/>
  <c r="G204" i="160"/>
  <c r="G47" i="160"/>
  <c r="G47" i="159"/>
  <c r="G166" i="159"/>
  <c r="G204" i="159" s="1"/>
  <c r="G201" i="159"/>
  <c r="G166" i="158"/>
  <c r="D71" i="140"/>
  <c r="G150" i="158"/>
  <c r="C32" i="142"/>
  <c r="C30" i="142" s="1"/>
  <c r="C33" i="142" s="1"/>
  <c r="G157" i="157"/>
  <c r="G204" i="157" s="1"/>
  <c r="G186" i="157"/>
  <c r="G176" i="157"/>
  <c r="G181" i="157"/>
  <c r="G138" i="157"/>
  <c r="G157" i="156"/>
  <c r="G201" i="156"/>
  <c r="G47" i="155"/>
  <c r="G196" i="155"/>
  <c r="G201" i="155"/>
  <c r="G191" i="155"/>
  <c r="G166" i="155"/>
  <c r="G191" i="129"/>
  <c r="G181" i="129"/>
  <c r="C16" i="142"/>
  <c r="E17" i="140"/>
  <c r="K49" i="140"/>
  <c r="H60" i="140"/>
  <c r="P40" i="140" s="1"/>
  <c r="C82" i="139"/>
  <c r="S40" i="140"/>
  <c r="G14" i="162"/>
  <c r="G203" i="162"/>
  <c r="G37" i="161"/>
  <c r="G203" i="161"/>
  <c r="G14" i="160"/>
  <c r="G33" i="160"/>
  <c r="G45" i="160"/>
  <c r="G21" i="160"/>
  <c r="G203" i="160"/>
  <c r="G33" i="159"/>
  <c r="G14" i="159"/>
  <c r="G37" i="159"/>
  <c r="G203" i="159"/>
  <c r="G45" i="158"/>
  <c r="G37" i="158"/>
  <c r="G21" i="158"/>
  <c r="G14" i="158"/>
  <c r="G203" i="158"/>
  <c r="G33" i="157"/>
  <c r="G14" i="157"/>
  <c r="G37" i="157"/>
  <c r="G21" i="157"/>
  <c r="G203" i="157"/>
  <c r="G203" i="156"/>
  <c r="G45" i="156"/>
  <c r="G21" i="156"/>
  <c r="G41" i="156"/>
  <c r="G204" i="155"/>
  <c r="G33" i="155"/>
  <c r="G14" i="155"/>
  <c r="G203" i="155"/>
  <c r="G37" i="155"/>
  <c r="G157" i="129"/>
  <c r="G171" i="129"/>
  <c r="G176" i="129"/>
  <c r="G166" i="129"/>
  <c r="G150" i="129"/>
  <c r="G196" i="129"/>
  <c r="G204" i="129"/>
  <c r="G203" i="129"/>
  <c r="G47" i="129"/>
  <c r="G37" i="129"/>
  <c r="G45" i="129"/>
  <c r="F18" i="139"/>
  <c r="K20" i="140" s="1"/>
  <c r="G47" i="5"/>
  <c r="F84" i="11"/>
  <c r="F15" i="139" s="1"/>
  <c r="K17" i="140" s="1"/>
  <c r="G41" i="9"/>
  <c r="G33" i="5"/>
  <c r="G48" i="5" s="1"/>
  <c r="G41" i="5"/>
  <c r="G37" i="5"/>
  <c r="G204" i="158" l="1"/>
  <c r="K50" i="140"/>
  <c r="K83" i="140"/>
  <c r="F90" i="162"/>
  <c r="F118" i="162"/>
  <c r="F77" i="162"/>
  <c r="F100" i="162"/>
  <c r="F107" i="162"/>
  <c r="F118" i="156"/>
  <c r="F77" i="156"/>
  <c r="F90" i="156"/>
  <c r="F107" i="156"/>
  <c r="F100" i="156"/>
  <c r="F100" i="157"/>
  <c r="F77" i="157"/>
  <c r="F107" i="157"/>
  <c r="F118" i="157"/>
  <c r="F90" i="157"/>
  <c r="F118" i="155"/>
  <c r="F77" i="155"/>
  <c r="F107" i="155"/>
  <c r="F90" i="155"/>
  <c r="F100" i="155"/>
  <c r="F107" i="161"/>
  <c r="F77" i="161"/>
  <c r="F90" i="161"/>
  <c r="F118" i="161"/>
  <c r="F100" i="161"/>
  <c r="F90" i="158"/>
  <c r="F118" i="158"/>
  <c r="F77" i="158"/>
  <c r="F107" i="158"/>
  <c r="F100" i="158"/>
  <c r="F107" i="160"/>
  <c r="F77" i="160"/>
  <c r="F90" i="160"/>
  <c r="F100" i="160"/>
  <c r="F107" i="159"/>
  <c r="F77" i="159"/>
  <c r="F90" i="159"/>
  <c r="F100" i="159"/>
  <c r="F107" i="129"/>
  <c r="F77" i="129"/>
  <c r="F90" i="129"/>
  <c r="F100" i="129"/>
  <c r="F118" i="129"/>
  <c r="K53" i="140"/>
  <c r="K86" i="140"/>
  <c r="G48" i="162"/>
  <c r="C114" i="140" s="1"/>
  <c r="G48" i="161"/>
  <c r="C103" i="140" s="1"/>
  <c r="G48" i="160"/>
  <c r="C92" i="140" s="1"/>
  <c r="G48" i="159"/>
  <c r="C81" i="140" s="1"/>
  <c r="H33" i="159"/>
  <c r="G48" i="158"/>
  <c r="G48" i="157"/>
  <c r="C59" i="140" s="1"/>
  <c r="G48" i="156"/>
  <c r="C48" i="140" s="1"/>
  <c r="H45" i="156"/>
  <c r="G48" i="155"/>
  <c r="G48" i="129"/>
  <c r="C26" i="140" s="1"/>
  <c r="H35" i="5"/>
  <c r="H32" i="5"/>
  <c r="H31" i="5"/>
  <c r="C5" i="12"/>
  <c r="H33" i="5"/>
  <c r="H37" i="5"/>
  <c r="H41" i="5"/>
  <c r="H45" i="5"/>
  <c r="H21" i="5"/>
  <c r="H9" i="5"/>
  <c r="H24" i="5"/>
  <c r="H11" i="5"/>
  <c r="H44" i="5"/>
  <c r="H16" i="5"/>
  <c r="H13" i="5"/>
  <c r="H19" i="5"/>
  <c r="H18" i="5"/>
  <c r="H20" i="5"/>
  <c r="H28" i="5"/>
  <c r="H43" i="5"/>
  <c r="H12" i="5"/>
  <c r="H27" i="5"/>
  <c r="H10" i="5"/>
  <c r="H23" i="5"/>
  <c r="H17" i="5"/>
  <c r="H14" i="5"/>
  <c r="H25" i="5"/>
  <c r="H37" i="158" l="1"/>
  <c r="C70" i="140"/>
  <c r="H33" i="157"/>
  <c r="H37" i="157"/>
  <c r="H21" i="157"/>
  <c r="H33" i="155"/>
  <c r="C37" i="140"/>
  <c r="H37" i="155"/>
  <c r="F112" i="157"/>
  <c r="F113" i="157" s="1"/>
  <c r="C211" i="157" s="1"/>
  <c r="O18" i="14" s="1"/>
  <c r="C63" i="140" s="1"/>
  <c r="F112" i="160"/>
  <c r="F113" i="160" s="1"/>
  <c r="C211" i="160" s="1"/>
  <c r="I32" i="14" s="1"/>
  <c r="C60" i="139" s="1"/>
  <c r="F112" i="156"/>
  <c r="F113" i="156" s="1"/>
  <c r="C211" i="156" s="1"/>
  <c r="F112" i="159"/>
  <c r="F113" i="159" s="1"/>
  <c r="C211" i="159" s="1"/>
  <c r="F112" i="158"/>
  <c r="F113" i="158" s="1"/>
  <c r="C211" i="158" s="1"/>
  <c r="F112" i="162"/>
  <c r="F113" i="162" s="1"/>
  <c r="C211" i="162" s="1"/>
  <c r="F112" i="161"/>
  <c r="F113" i="161" s="1"/>
  <c r="C211" i="161" s="1"/>
  <c r="F112" i="155"/>
  <c r="F113" i="155" s="1"/>
  <c r="C211" i="155" s="1"/>
  <c r="F112" i="129"/>
  <c r="F113" i="129" s="1"/>
  <c r="C211" i="129" s="1"/>
  <c r="C210" i="162"/>
  <c r="O31" i="14" s="1"/>
  <c r="C117" i="140" s="1"/>
  <c r="H32" i="162"/>
  <c r="H18" i="162"/>
  <c r="H39" i="162"/>
  <c r="H17" i="162"/>
  <c r="H35" i="162"/>
  <c r="H33" i="162"/>
  <c r="H11" i="162"/>
  <c r="H36" i="162"/>
  <c r="H31" i="162"/>
  <c r="H19" i="162"/>
  <c r="H28" i="162"/>
  <c r="H43" i="162"/>
  <c r="H27" i="162"/>
  <c r="H10" i="162"/>
  <c r="H12" i="162"/>
  <c r="H44" i="162"/>
  <c r="H16" i="162"/>
  <c r="H20" i="162"/>
  <c r="H24" i="162"/>
  <c r="H23" i="162"/>
  <c r="H13" i="162"/>
  <c r="H37" i="162"/>
  <c r="H29" i="162"/>
  <c r="H21" i="162"/>
  <c r="H41" i="162"/>
  <c r="H45" i="162"/>
  <c r="H40" i="162"/>
  <c r="H25" i="162"/>
  <c r="H9" i="162"/>
  <c r="H14" i="162"/>
  <c r="H36" i="161"/>
  <c r="H31" i="161"/>
  <c r="H17" i="161"/>
  <c r="H39" i="161"/>
  <c r="H11" i="161"/>
  <c r="C210" i="161"/>
  <c r="L31" i="14" s="1"/>
  <c r="C106" i="140" s="1"/>
  <c r="H27" i="161"/>
  <c r="H41" i="161"/>
  <c r="H28" i="161"/>
  <c r="H20" i="161"/>
  <c r="H33" i="161"/>
  <c r="H23" i="161"/>
  <c r="H43" i="161"/>
  <c r="H24" i="161"/>
  <c r="H9" i="161"/>
  <c r="H18" i="161"/>
  <c r="H16" i="161"/>
  <c r="H40" i="161"/>
  <c r="H12" i="161"/>
  <c r="H32" i="161"/>
  <c r="H19" i="161"/>
  <c r="H10" i="161"/>
  <c r="H44" i="161"/>
  <c r="H14" i="161"/>
  <c r="H13" i="161"/>
  <c r="H21" i="161"/>
  <c r="H35" i="161"/>
  <c r="H45" i="161"/>
  <c r="H29" i="161"/>
  <c r="H25" i="161"/>
  <c r="H37" i="161"/>
  <c r="C210" i="160"/>
  <c r="I31" i="14" s="1"/>
  <c r="C95" i="140" s="1"/>
  <c r="H43" i="160"/>
  <c r="H28" i="160"/>
  <c r="H12" i="160"/>
  <c r="H10" i="160"/>
  <c r="H18" i="160"/>
  <c r="H40" i="160"/>
  <c r="H23" i="160"/>
  <c r="H19" i="160"/>
  <c r="H39" i="160"/>
  <c r="H13" i="160"/>
  <c r="H27" i="160"/>
  <c r="H17" i="160"/>
  <c r="H35" i="160"/>
  <c r="H20" i="160"/>
  <c r="H11" i="160"/>
  <c r="H32" i="160"/>
  <c r="H24" i="160"/>
  <c r="H36" i="160"/>
  <c r="H9" i="160"/>
  <c r="H31" i="160"/>
  <c r="H44" i="160"/>
  <c r="H37" i="160"/>
  <c r="H29" i="160"/>
  <c r="H41" i="160"/>
  <c r="H25" i="160"/>
  <c r="H16" i="160"/>
  <c r="H14" i="160"/>
  <c r="H21" i="160"/>
  <c r="H33" i="160"/>
  <c r="H45" i="160"/>
  <c r="H18" i="159"/>
  <c r="C210" i="159"/>
  <c r="F31" i="14" s="1"/>
  <c r="C84" i="140" s="1"/>
  <c r="H11" i="159"/>
  <c r="H13" i="159"/>
  <c r="H32" i="159"/>
  <c r="H12" i="159"/>
  <c r="H10" i="159"/>
  <c r="H27" i="159"/>
  <c r="H19" i="159"/>
  <c r="H40" i="159"/>
  <c r="H36" i="159"/>
  <c r="H17" i="159"/>
  <c r="H28" i="159"/>
  <c r="H39" i="159"/>
  <c r="H23" i="159"/>
  <c r="H24" i="159"/>
  <c r="H16" i="159"/>
  <c r="H43" i="159"/>
  <c r="H20" i="159"/>
  <c r="H44" i="159"/>
  <c r="H41" i="159"/>
  <c r="H45" i="159"/>
  <c r="H29" i="159"/>
  <c r="H31" i="159"/>
  <c r="H9" i="159"/>
  <c r="H21" i="159"/>
  <c r="H25" i="159"/>
  <c r="H35" i="159"/>
  <c r="H14" i="159"/>
  <c r="H37" i="159"/>
  <c r="H14" i="158"/>
  <c r="H45" i="158"/>
  <c r="H32" i="158"/>
  <c r="H18" i="158"/>
  <c r="C210" i="158"/>
  <c r="C31" i="14" s="1"/>
  <c r="C73" i="140" s="1"/>
  <c r="H31" i="158"/>
  <c r="H17" i="158"/>
  <c r="H10" i="158"/>
  <c r="H19" i="158"/>
  <c r="H24" i="158"/>
  <c r="H11" i="158"/>
  <c r="H33" i="158"/>
  <c r="H28" i="158"/>
  <c r="H20" i="158"/>
  <c r="H12" i="158"/>
  <c r="H13" i="158"/>
  <c r="H27" i="158"/>
  <c r="H43" i="158"/>
  <c r="H36" i="158"/>
  <c r="H39" i="158"/>
  <c r="H23" i="158"/>
  <c r="H41" i="158"/>
  <c r="H9" i="158"/>
  <c r="H44" i="158"/>
  <c r="H40" i="158"/>
  <c r="H16" i="158"/>
  <c r="H29" i="158"/>
  <c r="H35" i="158"/>
  <c r="H25" i="158"/>
  <c r="H21" i="158"/>
  <c r="C210" i="157"/>
  <c r="O17" i="14" s="1"/>
  <c r="C62" i="140" s="1"/>
  <c r="H18" i="157"/>
  <c r="H27" i="157"/>
  <c r="H40" i="157"/>
  <c r="H39" i="157"/>
  <c r="H11" i="157"/>
  <c r="H41" i="157"/>
  <c r="H19" i="157"/>
  <c r="H28" i="157"/>
  <c r="H13" i="157"/>
  <c r="H23" i="157"/>
  <c r="H36" i="157"/>
  <c r="H12" i="157"/>
  <c r="H24" i="157"/>
  <c r="H20" i="157"/>
  <c r="H17" i="157"/>
  <c r="H32" i="157"/>
  <c r="H43" i="157"/>
  <c r="H10" i="157"/>
  <c r="H44" i="157"/>
  <c r="H45" i="157"/>
  <c r="H29" i="157"/>
  <c r="H9" i="157"/>
  <c r="H25" i="157"/>
  <c r="H35" i="157"/>
  <c r="H16" i="157"/>
  <c r="H31" i="157"/>
  <c r="H14" i="157"/>
  <c r="C210" i="156"/>
  <c r="L17" i="14" s="1"/>
  <c r="C51" i="140" s="1"/>
  <c r="H13" i="156"/>
  <c r="H28" i="156"/>
  <c r="H24" i="156"/>
  <c r="H23" i="156"/>
  <c r="H14" i="156"/>
  <c r="H37" i="156"/>
  <c r="H33" i="156"/>
  <c r="H43" i="156"/>
  <c r="H35" i="156"/>
  <c r="H36" i="156"/>
  <c r="H27" i="156"/>
  <c r="H11" i="156"/>
  <c r="H9" i="156"/>
  <c r="H20" i="156"/>
  <c r="H32" i="156"/>
  <c r="H18" i="156"/>
  <c r="H39" i="156"/>
  <c r="H17" i="156"/>
  <c r="H12" i="156"/>
  <c r="H19" i="156"/>
  <c r="H31" i="156"/>
  <c r="H10" i="156"/>
  <c r="H44" i="156"/>
  <c r="H40" i="156"/>
  <c r="H16" i="156"/>
  <c r="H25" i="156"/>
  <c r="H29" i="156"/>
  <c r="H21" i="156"/>
  <c r="H41" i="156"/>
  <c r="C210" i="155"/>
  <c r="I17" i="14" s="1"/>
  <c r="C40" i="140" s="1"/>
  <c r="H43" i="155"/>
  <c r="H20" i="155"/>
  <c r="H28" i="155"/>
  <c r="H12" i="155"/>
  <c r="H44" i="155"/>
  <c r="H13" i="155"/>
  <c r="H18" i="155"/>
  <c r="H40" i="155"/>
  <c r="H39" i="155"/>
  <c r="H32" i="155"/>
  <c r="H16" i="155"/>
  <c r="H27" i="155"/>
  <c r="H10" i="155"/>
  <c r="H23" i="155"/>
  <c r="H19" i="155"/>
  <c r="H36" i="155"/>
  <c r="H11" i="155"/>
  <c r="H24" i="155"/>
  <c r="H17" i="155"/>
  <c r="H45" i="155"/>
  <c r="H29" i="155"/>
  <c r="H21" i="155"/>
  <c r="H31" i="155"/>
  <c r="H25" i="155"/>
  <c r="H9" i="155"/>
  <c r="H41" i="155"/>
  <c r="H35" i="155"/>
  <c r="H14" i="155"/>
  <c r="H37" i="129"/>
  <c r="C210" i="129"/>
  <c r="F17" i="14" s="1"/>
  <c r="H27" i="129"/>
  <c r="H12" i="129"/>
  <c r="H24" i="129"/>
  <c r="H39" i="129"/>
  <c r="H20" i="129"/>
  <c r="H43" i="129"/>
  <c r="H23" i="129"/>
  <c r="H11" i="129"/>
  <c r="H31" i="129"/>
  <c r="H17" i="129"/>
  <c r="H19" i="129"/>
  <c r="H10" i="129"/>
  <c r="H32" i="129"/>
  <c r="H40" i="129"/>
  <c r="H13" i="129"/>
  <c r="H9" i="129"/>
  <c r="H18" i="129"/>
  <c r="H16" i="129"/>
  <c r="H36" i="129"/>
  <c r="H28" i="129"/>
  <c r="H14" i="129"/>
  <c r="H33" i="129"/>
  <c r="H35" i="129"/>
  <c r="H29" i="129"/>
  <c r="H21" i="129"/>
  <c r="H25" i="129"/>
  <c r="H44" i="129"/>
  <c r="H41" i="129"/>
  <c r="H45" i="129"/>
  <c r="C14" i="142"/>
  <c r="C17" i="142" s="1"/>
  <c r="C38" i="142" s="1"/>
  <c r="F13" i="139" s="1"/>
  <c r="F45" i="8"/>
  <c r="F22" i="8"/>
  <c r="F35" i="8"/>
  <c r="G87" i="9"/>
  <c r="H36" i="5"/>
  <c r="H40" i="5"/>
  <c r="H39" i="5"/>
  <c r="H29" i="5"/>
  <c r="E117" i="140" l="1"/>
  <c r="D117" i="140"/>
  <c r="E106" i="140"/>
  <c r="D106" i="140"/>
  <c r="E95" i="140"/>
  <c r="D95" i="140"/>
  <c r="E84" i="140"/>
  <c r="D84" i="140"/>
  <c r="E73" i="140"/>
  <c r="D73" i="140"/>
  <c r="E62" i="140"/>
  <c r="D62" i="140"/>
  <c r="E51" i="140"/>
  <c r="D51" i="140"/>
  <c r="D40" i="140"/>
  <c r="E40" i="140"/>
  <c r="C29" i="140"/>
  <c r="C6" i="139"/>
  <c r="C214" i="157"/>
  <c r="O21" i="14" s="1"/>
  <c r="C221" i="160"/>
  <c r="I42" i="14" s="1"/>
  <c r="C57" i="139"/>
  <c r="C221" i="157"/>
  <c r="O28" i="14" s="1"/>
  <c r="C96" i="140"/>
  <c r="C97" i="140" s="1"/>
  <c r="C98" i="140" s="1"/>
  <c r="C214" i="160"/>
  <c r="I35" i="14" s="1"/>
  <c r="O32" i="14"/>
  <c r="C214" i="162"/>
  <c r="O35" i="14" s="1"/>
  <c r="C221" i="162"/>
  <c r="O42" i="14" s="1"/>
  <c r="C32" i="14"/>
  <c r="C214" i="158"/>
  <c r="C35" i="14" s="1"/>
  <c r="C221" i="158"/>
  <c r="C42" i="14" s="1"/>
  <c r="L32" i="14"/>
  <c r="C221" i="161"/>
  <c r="L42" i="14" s="1"/>
  <c r="C214" i="161"/>
  <c r="L35" i="14" s="1"/>
  <c r="F32" i="14"/>
  <c r="C214" i="159"/>
  <c r="F35" i="14" s="1"/>
  <c r="C221" i="159"/>
  <c r="F42" i="14" s="1"/>
  <c r="I18" i="14"/>
  <c r="C221" i="155"/>
  <c r="I28" i="14" s="1"/>
  <c r="C214" i="155"/>
  <c r="I21" i="14" s="1"/>
  <c r="L18" i="14"/>
  <c r="C221" i="156"/>
  <c r="L28" i="14" s="1"/>
  <c r="C214" i="156"/>
  <c r="L21" i="14" s="1"/>
  <c r="F18" i="14"/>
  <c r="C221" i="129"/>
  <c r="F28" i="14" s="1"/>
  <c r="C214" i="129"/>
  <c r="F21" i="14" s="1"/>
  <c r="C212" i="129"/>
  <c r="F19" i="14" s="1"/>
  <c r="E63" i="140"/>
  <c r="C64" i="140"/>
  <c r="C65" i="140" s="1"/>
  <c r="D63" i="140"/>
  <c r="C212" i="162"/>
  <c r="O33" i="14" s="1"/>
  <c r="C212" i="161"/>
  <c r="L33" i="14" s="1"/>
  <c r="C212" i="160"/>
  <c r="I33" i="14" s="1"/>
  <c r="C212" i="159"/>
  <c r="F33" i="14" s="1"/>
  <c r="C212" i="158"/>
  <c r="C33" i="14" s="1"/>
  <c r="C212" i="157"/>
  <c r="O19" i="14" s="1"/>
  <c r="C212" i="156"/>
  <c r="L19" i="14" s="1"/>
  <c r="C212" i="155"/>
  <c r="I19" i="14" s="1"/>
  <c r="K15" i="140"/>
  <c r="F57" i="8"/>
  <c r="F58" i="8" s="1"/>
  <c r="G60" i="9"/>
  <c r="G75" i="9"/>
  <c r="G34" i="9"/>
  <c r="G65" i="9"/>
  <c r="G70" i="9"/>
  <c r="G50" i="9"/>
  <c r="G55" i="9"/>
  <c r="G80" i="9"/>
  <c r="G22" i="9"/>
  <c r="G85" i="9"/>
  <c r="E64" i="8"/>
  <c r="E64" i="140" l="1"/>
  <c r="E65" i="140" s="1"/>
  <c r="D64" i="140"/>
  <c r="D65" i="140" s="1"/>
  <c r="H74" i="140"/>
  <c r="C44" i="139"/>
  <c r="H8" i="140"/>
  <c r="E29" i="140"/>
  <c r="D29" i="140"/>
  <c r="H41" i="140" s="1"/>
  <c r="E96" i="140"/>
  <c r="E97" i="140" s="1"/>
  <c r="E98" i="140" s="1"/>
  <c r="D96" i="140"/>
  <c r="D97" i="140" s="1"/>
  <c r="D98" i="140" s="1"/>
  <c r="C220" i="129"/>
  <c r="F27" i="14" s="1"/>
  <c r="C213" i="129"/>
  <c r="F20" i="14" s="1"/>
  <c r="C56" i="139"/>
  <c r="C52" i="140"/>
  <c r="C74" i="140"/>
  <c r="C58" i="139"/>
  <c r="C41" i="140"/>
  <c r="C55" i="139"/>
  <c r="C30" i="140"/>
  <c r="C54" i="139"/>
  <c r="C61" i="139"/>
  <c r="C107" i="140"/>
  <c r="C85" i="140"/>
  <c r="C59" i="139"/>
  <c r="C62" i="139"/>
  <c r="C118" i="140"/>
  <c r="K81" i="140"/>
  <c r="K48" i="140"/>
  <c r="C220" i="162"/>
  <c r="O41" i="14" s="1"/>
  <c r="C213" i="162"/>
  <c r="O34" i="14" s="1"/>
  <c r="C220" i="161"/>
  <c r="L41" i="14" s="1"/>
  <c r="C213" i="161"/>
  <c r="L34" i="14" s="1"/>
  <c r="C220" i="160"/>
  <c r="I41" i="14" s="1"/>
  <c r="C213" i="160"/>
  <c r="I34" i="14" s="1"/>
  <c r="C220" i="159"/>
  <c r="F41" i="14" s="1"/>
  <c r="C213" i="159"/>
  <c r="F34" i="14" s="1"/>
  <c r="C220" i="158"/>
  <c r="C41" i="14" s="1"/>
  <c r="C213" i="158"/>
  <c r="C34" i="14" s="1"/>
  <c r="C220" i="157"/>
  <c r="O27" i="14" s="1"/>
  <c r="C213" i="157"/>
  <c r="O20" i="14" s="1"/>
  <c r="C220" i="156"/>
  <c r="L27" i="14" s="1"/>
  <c r="C213" i="156"/>
  <c r="L20" i="14" s="1"/>
  <c r="C220" i="155"/>
  <c r="I27" i="14" s="1"/>
  <c r="C213" i="155"/>
  <c r="I20" i="14" s="1"/>
  <c r="F12" i="139"/>
  <c r="G88" i="9"/>
  <c r="C6" i="12" s="1"/>
  <c r="E65" i="8"/>
  <c r="K14" i="140" l="1"/>
  <c r="C49" i="139"/>
  <c r="D44" i="139"/>
  <c r="E44" i="139" s="1"/>
  <c r="C108" i="140"/>
  <c r="C109" i="140" s="1"/>
  <c r="D107" i="140"/>
  <c r="D108" i="140" s="1"/>
  <c r="D109" i="140" s="1"/>
  <c r="E107" i="140"/>
  <c r="E108" i="140" s="1"/>
  <c r="E109" i="140" s="1"/>
  <c r="D85" i="140"/>
  <c r="D86" i="140" s="1"/>
  <c r="D87" i="140" s="1"/>
  <c r="E85" i="140"/>
  <c r="E86" i="140" s="1"/>
  <c r="E87" i="140" s="1"/>
  <c r="C86" i="140"/>
  <c r="C87" i="140" s="1"/>
  <c r="D41" i="140"/>
  <c r="D42" i="140" s="1"/>
  <c r="D43" i="140" s="1"/>
  <c r="C42" i="140"/>
  <c r="C43" i="140" s="1"/>
  <c r="E41" i="140"/>
  <c r="E42" i="140" s="1"/>
  <c r="E43" i="140" s="1"/>
  <c r="D30" i="140"/>
  <c r="D31" i="140" s="1"/>
  <c r="D32" i="140" s="1"/>
  <c r="C31" i="140"/>
  <c r="C32" i="140" s="1"/>
  <c r="E30" i="140"/>
  <c r="E31" i="140" s="1"/>
  <c r="E32" i="140" s="1"/>
  <c r="E74" i="140"/>
  <c r="E75" i="140" s="1"/>
  <c r="E76" i="140" s="1"/>
  <c r="D74" i="140"/>
  <c r="D75" i="140" s="1"/>
  <c r="D76" i="140" s="1"/>
  <c r="C75" i="140"/>
  <c r="C76" i="140" s="1"/>
  <c r="E118" i="140"/>
  <c r="E119" i="140" s="1"/>
  <c r="E120" i="140" s="1"/>
  <c r="D118" i="140"/>
  <c r="D119" i="140" s="1"/>
  <c r="D120" i="140" s="1"/>
  <c r="C119" i="140"/>
  <c r="C120" i="140" s="1"/>
  <c r="D52" i="140"/>
  <c r="D53" i="140" s="1"/>
  <c r="D54" i="140" s="1"/>
  <c r="C53" i="140"/>
  <c r="C54" i="140" s="1"/>
  <c r="E52" i="140"/>
  <c r="K80" i="140"/>
  <c r="K47" i="140"/>
  <c r="C18" i="14"/>
  <c r="C16" i="12"/>
  <c r="C28" i="14" s="1"/>
  <c r="C15" i="139" l="1"/>
  <c r="H17" i="140" s="1"/>
  <c r="C18" i="139"/>
  <c r="H20" i="140" s="1"/>
  <c r="C14" i="139"/>
  <c r="H16" i="140" s="1"/>
  <c r="C13" i="139"/>
  <c r="D48" i="139"/>
  <c r="E48" i="139" s="1"/>
  <c r="D45" i="139"/>
  <c r="E45" i="139" s="1"/>
  <c r="D46" i="139"/>
  <c r="E46" i="139" s="1"/>
  <c r="F6" i="139"/>
  <c r="K8" i="140" s="1"/>
  <c r="D47" i="139"/>
  <c r="E47" i="139" s="1"/>
  <c r="C53" i="139"/>
  <c r="C19" i="140"/>
  <c r="E53" i="140"/>
  <c r="E54" i="140" s="1"/>
  <c r="H75" i="140"/>
  <c r="C9" i="12"/>
  <c r="C7" i="12"/>
  <c r="H15" i="140" l="1"/>
  <c r="C12" i="139"/>
  <c r="H49" i="140"/>
  <c r="H82" i="140"/>
  <c r="K74" i="140"/>
  <c r="K41" i="140"/>
  <c r="D49" i="139"/>
  <c r="E49" i="139" s="1"/>
  <c r="H53" i="140"/>
  <c r="H86" i="140"/>
  <c r="H83" i="140"/>
  <c r="H50" i="140"/>
  <c r="H78" i="140"/>
  <c r="H79" i="140" s="1"/>
  <c r="H76" i="140"/>
  <c r="K76" i="140" s="1"/>
  <c r="K75" i="140" s="1"/>
  <c r="C20" i="140"/>
  <c r="C21" i="140" s="1"/>
  <c r="E19" i="140"/>
  <c r="E20" i="140" s="1"/>
  <c r="E21" i="140" s="1"/>
  <c r="D19" i="140"/>
  <c r="C19" i="14"/>
  <c r="C15" i="12"/>
  <c r="C27" i="14" s="1"/>
  <c r="C21" i="14"/>
  <c r="C8" i="12"/>
  <c r="C20" i="14" s="1"/>
  <c r="C63" i="139"/>
  <c r="C8" i="139" s="1"/>
  <c r="H10" i="140" s="1"/>
  <c r="H14" i="140" l="1"/>
  <c r="H80" i="140"/>
  <c r="H47" i="140"/>
  <c r="K78" i="140"/>
  <c r="K84" i="140" s="1"/>
  <c r="H81" i="140"/>
  <c r="H48" i="140"/>
  <c r="H42" i="140"/>
  <c r="D20" i="140"/>
  <c r="D21" i="140" s="1"/>
  <c r="F8" i="139"/>
  <c r="C7" i="139"/>
  <c r="D53" i="139"/>
  <c r="D59" i="139"/>
  <c r="D57" i="139"/>
  <c r="D56" i="139"/>
  <c r="D60" i="139"/>
  <c r="D54" i="139"/>
  <c r="D61" i="139"/>
  <c r="D58" i="139"/>
  <c r="D55" i="139"/>
  <c r="D62" i="139"/>
  <c r="K79" i="140" l="1"/>
  <c r="H94" i="140"/>
  <c r="H84" i="140"/>
  <c r="K85" i="140"/>
  <c r="K87" i="140"/>
  <c r="H45" i="140"/>
  <c r="H43" i="140"/>
  <c r="K43" i="140" s="1"/>
  <c r="K42" i="140" s="1"/>
  <c r="K45" i="140" s="1"/>
  <c r="H61" i="140"/>
  <c r="C10" i="139"/>
  <c r="C16" i="139" s="1"/>
  <c r="H9" i="140"/>
  <c r="C26" i="139"/>
  <c r="F7" i="139"/>
  <c r="K10" i="140"/>
  <c r="D63" i="139"/>
  <c r="H87" i="140" l="1"/>
  <c r="H85" i="140"/>
  <c r="S68" i="140"/>
  <c r="S50" i="140"/>
  <c r="S46" i="140"/>
  <c r="S69" i="140"/>
  <c r="S62" i="140"/>
  <c r="S61" i="140"/>
  <c r="S48" i="140"/>
  <c r="S51" i="140"/>
  <c r="S64" i="140"/>
  <c r="S47" i="140"/>
  <c r="H100" i="140"/>
  <c r="S63" i="140"/>
  <c r="S57" i="140"/>
  <c r="S66" i="140"/>
  <c r="S41" i="140"/>
  <c r="S45" i="140"/>
  <c r="S70" i="140"/>
  <c r="H98" i="140"/>
  <c r="S65" i="140"/>
  <c r="S53" i="140"/>
  <c r="S58" i="140"/>
  <c r="S43" i="140"/>
  <c r="S49" i="140"/>
  <c r="S67" i="140"/>
  <c r="S54" i="140"/>
  <c r="S42" i="140"/>
  <c r="H97" i="140"/>
  <c r="S60" i="140"/>
  <c r="S55" i="140"/>
  <c r="S52" i="140"/>
  <c r="S59" i="140"/>
  <c r="S44" i="140"/>
  <c r="S56" i="140"/>
  <c r="K46" i="140"/>
  <c r="K51" i="140"/>
  <c r="H46" i="140"/>
  <c r="H51" i="140"/>
  <c r="P41" i="140"/>
  <c r="P59" i="140"/>
  <c r="P52" i="140"/>
  <c r="P57" i="140"/>
  <c r="P64" i="140"/>
  <c r="P44" i="140"/>
  <c r="P58" i="140"/>
  <c r="P45" i="140"/>
  <c r="P47" i="140"/>
  <c r="P43" i="140"/>
  <c r="P54" i="140"/>
  <c r="P48" i="140"/>
  <c r="P53" i="140"/>
  <c r="P49" i="140"/>
  <c r="P67" i="140"/>
  <c r="P65" i="140"/>
  <c r="P61" i="140"/>
  <c r="P69" i="140"/>
  <c r="P55" i="140"/>
  <c r="P62" i="140"/>
  <c r="P68" i="140"/>
  <c r="H65" i="140"/>
  <c r="P60" i="140"/>
  <c r="P46" i="140"/>
  <c r="P66" i="140"/>
  <c r="P50" i="140"/>
  <c r="P70" i="140"/>
  <c r="H67" i="140"/>
  <c r="P51" i="140"/>
  <c r="P63" i="140"/>
  <c r="P42" i="140"/>
  <c r="P56" i="140"/>
  <c r="H64" i="140"/>
  <c r="F10" i="139"/>
  <c r="F16" i="139" s="1"/>
  <c r="K9" i="140"/>
  <c r="C11" i="139"/>
  <c r="H12" i="140"/>
  <c r="C90" i="139"/>
  <c r="C103" i="139"/>
  <c r="C91" i="139"/>
  <c r="C104" i="139"/>
  <c r="C83" i="139"/>
  <c r="C92" i="139"/>
  <c r="C105" i="139"/>
  <c r="H28" i="140"/>
  <c r="C93" i="139"/>
  <c r="C106" i="139"/>
  <c r="C94" i="139"/>
  <c r="C107" i="139"/>
  <c r="C95" i="139"/>
  <c r="C108" i="139"/>
  <c r="C32" i="139"/>
  <c r="H34" i="140" s="1"/>
  <c r="C96" i="139"/>
  <c r="C109" i="139"/>
  <c r="C84" i="139"/>
  <c r="C97" i="139"/>
  <c r="C111" i="139"/>
  <c r="C85" i="139"/>
  <c r="C99" i="139"/>
  <c r="C112" i="139"/>
  <c r="C87" i="139"/>
  <c r="C100" i="139"/>
  <c r="C88" i="139"/>
  <c r="C101" i="139"/>
  <c r="C89" i="139"/>
  <c r="C102" i="139"/>
  <c r="C110" i="139"/>
  <c r="C98" i="139"/>
  <c r="C86" i="139"/>
  <c r="C29" i="139"/>
  <c r="H31" i="140" s="1"/>
  <c r="E60" i="139"/>
  <c r="C216" i="160" s="1"/>
  <c r="I37" i="14" s="1"/>
  <c r="E55" i="139"/>
  <c r="E59" i="139"/>
  <c r="C216" i="159" s="1"/>
  <c r="F37" i="14" s="1"/>
  <c r="E56" i="139"/>
  <c r="C216" i="156" s="1"/>
  <c r="L23" i="14" s="1"/>
  <c r="E58" i="139"/>
  <c r="E54" i="139"/>
  <c r="C216" i="129" s="1"/>
  <c r="F23" i="14" s="1"/>
  <c r="E61" i="139"/>
  <c r="C216" i="161" s="1"/>
  <c r="L37" i="14" s="1"/>
  <c r="E63" i="139"/>
  <c r="E57" i="139"/>
  <c r="C216" i="157" s="1"/>
  <c r="O23" i="14" s="1"/>
  <c r="E62" i="139"/>
  <c r="C216" i="162" s="1"/>
  <c r="O37" i="14" s="1"/>
  <c r="E53" i="139"/>
  <c r="C11" i="12" s="1"/>
  <c r="C23" i="14" s="1"/>
  <c r="H99" i="140" l="1"/>
  <c r="H66" i="140"/>
  <c r="H54" i="140"/>
  <c r="H52" i="140"/>
  <c r="K52" i="140"/>
  <c r="K54" i="140"/>
  <c r="C31" i="139"/>
  <c r="H33" i="140" s="1"/>
  <c r="C30" i="139"/>
  <c r="H32" i="140" s="1"/>
  <c r="H13" i="140"/>
  <c r="F11" i="139"/>
  <c r="K12" i="140"/>
  <c r="C218" i="162"/>
  <c r="O39" i="14" s="1"/>
  <c r="C217" i="162"/>
  <c r="O38" i="14" s="1"/>
  <c r="C219" i="162"/>
  <c r="O40" i="14" s="1"/>
  <c r="C218" i="161"/>
  <c r="L39" i="14" s="1"/>
  <c r="C217" i="161"/>
  <c r="L38" i="14" s="1"/>
  <c r="C219" i="161"/>
  <c r="L40" i="14" s="1"/>
  <c r="C218" i="160"/>
  <c r="I39" i="14" s="1"/>
  <c r="C217" i="160"/>
  <c r="I38" i="14" s="1"/>
  <c r="C219" i="160"/>
  <c r="I40" i="14" s="1"/>
  <c r="C216" i="158"/>
  <c r="C219" i="158" s="1"/>
  <c r="C40" i="14" s="1"/>
  <c r="C218" i="157"/>
  <c r="O25" i="14" s="1"/>
  <c r="C217" i="157"/>
  <c r="O24" i="14" s="1"/>
  <c r="C219" i="157"/>
  <c r="O26" i="14" s="1"/>
  <c r="C218" i="156"/>
  <c r="L25" i="14" s="1"/>
  <c r="C217" i="156"/>
  <c r="L24" i="14" s="1"/>
  <c r="C219" i="156"/>
  <c r="L26" i="14" s="1"/>
  <c r="C216" i="155"/>
  <c r="I23" i="14" s="1"/>
  <c r="C217" i="129"/>
  <c r="F24" i="14" s="1"/>
  <c r="C218" i="129"/>
  <c r="F25" i="14" s="1"/>
  <c r="C219" i="129"/>
  <c r="F26" i="14" s="1"/>
  <c r="C12" i="12"/>
  <c r="C24" i="14" s="1"/>
  <c r="C14" i="12"/>
  <c r="C26" i="14" s="1"/>
  <c r="C13" i="12"/>
  <c r="C25" i="14" s="1"/>
  <c r="K13" i="140" l="1"/>
  <c r="H18" i="140"/>
  <c r="C19" i="139"/>
  <c r="C17" i="139"/>
  <c r="H19" i="140" s="1"/>
  <c r="C218" i="158"/>
  <c r="C39" i="14" s="1"/>
  <c r="C37" i="14"/>
  <c r="C217" i="158"/>
  <c r="C38" i="14" s="1"/>
  <c r="C218" i="159"/>
  <c r="F39" i="14" s="1"/>
  <c r="C217" i="159"/>
  <c r="F38" i="14" s="1"/>
  <c r="C219" i="159"/>
  <c r="F40" i="14" s="1"/>
  <c r="C218" i="155"/>
  <c r="I25" i="14" s="1"/>
  <c r="C217" i="155"/>
  <c r="I24" i="14" s="1"/>
  <c r="C219" i="155"/>
  <c r="I26" i="14" s="1"/>
  <c r="C20" i="139" l="1"/>
  <c r="H21" i="140"/>
  <c r="K18" i="140"/>
  <c r="F19" i="139"/>
  <c r="F17" i="139"/>
  <c r="K19" i="140" s="1"/>
  <c r="F20" i="139" l="1"/>
  <c r="K21" i="140"/>
  <c r="C22" i="139"/>
  <c r="H22" i="140"/>
  <c r="H55" i="140" l="1"/>
  <c r="H57" i="140" s="1"/>
  <c r="H58" i="140" s="1"/>
  <c r="H88" i="140"/>
  <c r="H90" i="140" s="1"/>
  <c r="H91" i="140" s="1"/>
  <c r="C23" i="139"/>
  <c r="H25" i="140" s="1"/>
  <c r="H24" i="140"/>
  <c r="F22" i="139"/>
  <c r="K22" i="140"/>
  <c r="F23" i="139" l="1"/>
  <c r="K25" i="140" s="1"/>
  <c r="K24" i="140"/>
  <c r="K88" i="140"/>
  <c r="K90" i="140" s="1"/>
  <c r="K91" i="140" s="1"/>
  <c r="K55" i="140"/>
  <c r="K57" i="140" s="1"/>
  <c r="K58" i="140" s="1"/>
</calcChain>
</file>

<file path=xl/sharedStrings.xml><?xml version="1.0" encoding="utf-8"?>
<sst xmlns="http://schemas.openxmlformats.org/spreadsheetml/2006/main" count="4371" uniqueCount="439">
  <si>
    <t>Website</t>
  </si>
  <si>
    <t>Unit</t>
  </si>
  <si>
    <t>$/unit</t>
  </si>
  <si>
    <t>lbs</t>
  </si>
  <si>
    <t>beds</t>
  </si>
  <si>
    <t>Cost/Bed</t>
  </si>
  <si>
    <t>tons</t>
  </si>
  <si>
    <t>bags</t>
  </si>
  <si>
    <t xml:space="preserve">Liquid Fish </t>
  </si>
  <si>
    <t>gallons</t>
  </si>
  <si>
    <t>Gypsum</t>
  </si>
  <si>
    <t>Totals</t>
  </si>
  <si>
    <t>Property Taxes</t>
  </si>
  <si>
    <t>Useful Life Span (years)</t>
  </si>
  <si>
    <t>Crop Income</t>
  </si>
  <si>
    <t>Total Crop Cost</t>
  </si>
  <si>
    <t>Irrigation: Main Line Infrastructure</t>
  </si>
  <si>
    <t>Other Production Labor</t>
  </si>
  <si>
    <t>Total Cash Overhead Costs</t>
  </si>
  <si>
    <t>Profit Margin</t>
  </si>
  <si>
    <t>Mowing</t>
  </si>
  <si>
    <t>Mechanical Cultivation</t>
  </si>
  <si>
    <t>Ripping</t>
  </si>
  <si>
    <t>Other (laying plastic mulch, etc)</t>
  </si>
  <si>
    <t>Irrigation: Drip Tape, Sprinklers, etc.</t>
  </si>
  <si>
    <t>write name here</t>
  </si>
  <si>
    <t>Other - write name here</t>
  </si>
  <si>
    <t xml:space="preserve">Machine - Labor Cost </t>
  </si>
  <si>
    <t>Yearly Depreciation</t>
  </si>
  <si>
    <t>Barns</t>
  </si>
  <si>
    <t>Cold Storage</t>
  </si>
  <si>
    <t>Farmstand</t>
  </si>
  <si>
    <t>Packing Shed</t>
  </si>
  <si>
    <t>Storage Shed</t>
  </si>
  <si>
    <t>Worker Housing</t>
  </si>
  <si>
    <t>Farm Trucks</t>
  </si>
  <si>
    <t>Delivery Vehicle</t>
  </si>
  <si>
    <t>Forklifts</t>
  </si>
  <si>
    <t>Scales</t>
  </si>
  <si>
    <t xml:space="preserve">Miscellaneous </t>
  </si>
  <si>
    <t>Farm Fence</t>
  </si>
  <si>
    <t>Potable Water Infrastructure</t>
  </si>
  <si>
    <t>Electricity Infrastructure</t>
  </si>
  <si>
    <t>Tractor #1</t>
  </si>
  <si>
    <t>Tractor #2</t>
  </si>
  <si>
    <t>Tractor #3</t>
  </si>
  <si>
    <t>Crop Packing Equipment</t>
  </si>
  <si>
    <t>Field Tools</t>
  </si>
  <si>
    <t>Total Yearly Depreciation</t>
  </si>
  <si>
    <t>Post Harvest Field Clean-Up</t>
  </si>
  <si>
    <t>Quantity Per Bed</t>
  </si>
  <si>
    <t>gallon</t>
  </si>
  <si>
    <t>Weeks available</t>
  </si>
  <si>
    <t>Payroll Administration</t>
  </si>
  <si>
    <t>Other</t>
  </si>
  <si>
    <t>Tractor Fuel</t>
  </si>
  <si>
    <t>Vehicle Fuel</t>
  </si>
  <si>
    <t>Other Fuel</t>
  </si>
  <si>
    <t>Land Rent/Mortgage</t>
  </si>
  <si>
    <t>Equipment Rental</t>
  </si>
  <si>
    <t>Storage and Warehousing</t>
  </si>
  <si>
    <t>Farmers' Market Dues</t>
  </si>
  <si>
    <t>Farmers' Market Stall Fees</t>
  </si>
  <si>
    <t>Organic Certification and Registration</t>
  </si>
  <si>
    <t>Producer's Certificate</t>
  </si>
  <si>
    <t>Other Dues or Fees</t>
  </si>
  <si>
    <t>Office Supplies and Equipment</t>
  </si>
  <si>
    <t>Accounting Administration</t>
  </si>
  <si>
    <t>Legal Expenses</t>
  </si>
  <si>
    <t>Bank Expenses</t>
  </si>
  <si>
    <t>Phosphorous Source</t>
  </si>
  <si>
    <t>Potassium Source</t>
  </si>
  <si>
    <t>Calcium</t>
  </si>
  <si>
    <t>Auto Insurance and Registration</t>
  </si>
  <si>
    <t>ea</t>
  </si>
  <si>
    <t>Other Marketing Costs</t>
  </si>
  <si>
    <t>Employee</t>
  </si>
  <si>
    <t>Owner</t>
  </si>
  <si>
    <t>Farmers' Markets</t>
  </si>
  <si>
    <t>Wholesale Accounts</t>
  </si>
  <si>
    <t xml:space="preserve">CSA </t>
  </si>
  <si>
    <t xml:space="preserve">Other Sales </t>
  </si>
  <si>
    <t>Total Revenue for this Crop</t>
  </si>
  <si>
    <t>bags / boxes</t>
  </si>
  <si>
    <t>Wholesale Costs</t>
  </si>
  <si>
    <t>CSA Costs</t>
  </si>
  <si>
    <t>Farmstand Costs</t>
  </si>
  <si>
    <t>Total Units Sold</t>
  </si>
  <si>
    <t>Other Overhead Expenses</t>
  </si>
  <si>
    <t>Enter information in yellow cells only!</t>
  </si>
  <si>
    <t>Total Time Per Bed</t>
  </si>
  <si>
    <t>Revenue</t>
  </si>
  <si>
    <t xml:space="preserve">% of Sales </t>
  </si>
  <si>
    <t>What is you UNIT of production for this crop?</t>
  </si>
  <si>
    <t>Farmers' Market Costs</t>
  </si>
  <si>
    <t>Unit of Production</t>
  </si>
  <si>
    <t>Employee Wages / Salary</t>
  </si>
  <si>
    <t>Tilling</t>
  </si>
  <si>
    <t>Amendment Spreading</t>
  </si>
  <si>
    <t>Shaping Beds</t>
  </si>
  <si>
    <t>Total Cost per bed</t>
  </si>
  <si>
    <t xml:space="preserve"> Cash Overhead Costs </t>
  </si>
  <si>
    <t>Scenarios Tool</t>
  </si>
  <si>
    <t>feet</t>
  </si>
  <si>
    <t>Livestock</t>
  </si>
  <si>
    <t>Total Cost Per Unit</t>
  </si>
  <si>
    <t>Direct Crop Expense</t>
  </si>
  <si>
    <t>Total Crop Income</t>
  </si>
  <si>
    <t>Crop Profit</t>
  </si>
  <si>
    <t>Direct Cost per Unit</t>
  </si>
  <si>
    <t>% of Total Direct Expenses</t>
  </si>
  <si>
    <t>Direct Cost per Bed Foot</t>
  </si>
  <si>
    <t>Food, Housing</t>
  </si>
  <si>
    <t>Health Insurance, Retirement</t>
  </si>
  <si>
    <t>General Farm Compost</t>
  </si>
  <si>
    <t>General Farm Amendment</t>
  </si>
  <si>
    <t>Owner Benefits</t>
  </si>
  <si>
    <t xml:space="preserve">Purchase Price </t>
  </si>
  <si>
    <t>Farm Owner Labor Costs</t>
  </si>
  <si>
    <t>Farm Employee Labor Costs</t>
  </si>
  <si>
    <t>Employee Supervision</t>
  </si>
  <si>
    <t>Implement - Cultivating Tools</t>
  </si>
  <si>
    <t>Implement- Mower</t>
  </si>
  <si>
    <t>Implement- Ripper</t>
  </si>
  <si>
    <t>Implement- Rototiller</t>
  </si>
  <si>
    <t>Implement- Spreader</t>
  </si>
  <si>
    <t>Implement- Transplanter</t>
  </si>
  <si>
    <t>Implement- Mulch Layer</t>
  </si>
  <si>
    <t>Tool Repair</t>
  </si>
  <si>
    <t>Direct Crop Expense divided by total number of units produced.</t>
  </si>
  <si>
    <t>Direct Crop Expense divided by the total number of bed feet.</t>
  </si>
  <si>
    <t>Farmers' Market Insurance</t>
  </si>
  <si>
    <t>Repairs and Maintenance: Buildings</t>
  </si>
  <si>
    <t>Repairs and Maintenance: Equipment</t>
  </si>
  <si>
    <t>Farm Liability Insurance</t>
  </si>
  <si>
    <t>Utilities: Land Phone Line</t>
  </si>
  <si>
    <t xml:space="preserve">Utilities: Internet </t>
  </si>
  <si>
    <t>Utilities: Water</t>
  </si>
  <si>
    <t>Utilities: Electricity</t>
  </si>
  <si>
    <t>Trailers</t>
  </si>
  <si>
    <t>Shade Tent</t>
  </si>
  <si>
    <t>Enter information in YELLOW cells only!</t>
  </si>
  <si>
    <t>Orchard / Perennial Crops</t>
  </si>
  <si>
    <t>once a year application, not crop specific</t>
  </si>
  <si>
    <t>Implement- other</t>
  </si>
  <si>
    <t>Utilities: Cell Phone</t>
  </si>
  <si>
    <t>Employee Loaded Labor Rate</t>
  </si>
  <si>
    <t>Mechanical Transplanting/Seeding</t>
  </si>
  <si>
    <t>Nitrogen Source</t>
  </si>
  <si>
    <t>Owner Labor Rate</t>
  </si>
  <si>
    <t>Total Compensation</t>
  </si>
  <si>
    <t>Farm Owner Labor Calculator</t>
  </si>
  <si>
    <t>Total owner hours per year</t>
  </si>
  <si>
    <t>Actual owner hourly wage (based on salary provided)</t>
  </si>
  <si>
    <t>Farm Employee Labor Calculator</t>
  </si>
  <si>
    <t>Employee #1</t>
  </si>
  <si>
    <t>Employee #2</t>
  </si>
  <si>
    <t>Employee #3</t>
  </si>
  <si>
    <t>Employee #4</t>
  </si>
  <si>
    <t>Employee #5</t>
  </si>
  <si>
    <t>minutes</t>
  </si>
  <si>
    <t>hours</t>
  </si>
  <si>
    <t>Labor Breakdown</t>
  </si>
  <si>
    <t xml:space="preserve"> Employee Production Labor Cost</t>
  </si>
  <si>
    <t xml:space="preserve"> Owner Production Labor Cost</t>
  </si>
  <si>
    <t>Orchard/Perennial Crop Depreciable Overheads</t>
  </si>
  <si>
    <t>Livestock Depreciable Overheads</t>
  </si>
  <si>
    <t>Total Capital Purchases</t>
  </si>
  <si>
    <t>Overhead Ratio</t>
  </si>
  <si>
    <t>Crop Profit per Bed Foot</t>
  </si>
  <si>
    <r>
      <t>Total crop sales.  May also be called</t>
    </r>
    <r>
      <rPr>
        <sz val="10"/>
        <color theme="7" tint="-0.249977111117893"/>
        <rFont val="DengXian"/>
        <family val="2"/>
        <scheme val="minor"/>
      </rPr>
      <t xml:space="preserve"> </t>
    </r>
    <r>
      <rPr>
        <i/>
        <sz val="11"/>
        <color theme="7" tint="-0.249977111117893"/>
        <rFont val="DengXian"/>
        <family val="2"/>
        <scheme val="minor"/>
      </rPr>
      <t>revenue</t>
    </r>
    <r>
      <rPr>
        <sz val="10"/>
        <color theme="1"/>
        <rFont val="DengXian"/>
        <family val="2"/>
        <scheme val="minor"/>
      </rPr>
      <t xml:space="preserve"> or </t>
    </r>
    <r>
      <rPr>
        <i/>
        <sz val="11"/>
        <color theme="7" tint="-0.249977111117893"/>
        <rFont val="DengXian"/>
        <family val="2"/>
        <scheme val="minor"/>
      </rPr>
      <t>gross product.</t>
    </r>
  </si>
  <si>
    <t>Step 5: Crop Assessment</t>
  </si>
  <si>
    <t>2:</t>
  </si>
  <si>
    <t>yard</t>
  </si>
  <si>
    <t>Allocated Overhead</t>
  </si>
  <si>
    <t>Actual Profit Earned</t>
  </si>
  <si>
    <t xml:space="preserve">The amount of money left after direct expenses and allocated overhead costs are paid.  </t>
  </si>
  <si>
    <t>Travel to/from fields; Changing implements</t>
  </si>
  <si>
    <t>Travel to/from fields; Prep &amp; set-up</t>
  </si>
  <si>
    <t>Other Utilities</t>
  </si>
  <si>
    <t>Other Insurance</t>
  </si>
  <si>
    <t>Other Repairs and Maintenance</t>
  </si>
  <si>
    <t>Other Admin</t>
  </si>
  <si>
    <t>Other Land Use Expenses</t>
  </si>
  <si>
    <t>Other Misc. Crop Expenses</t>
  </si>
  <si>
    <t>Other Farm Buildings</t>
  </si>
  <si>
    <t>Other Vehicles</t>
  </si>
  <si>
    <t>Other Market Stall Materials</t>
  </si>
  <si>
    <t>Other Field Infrastructure</t>
  </si>
  <si>
    <t>write crop name here</t>
    <phoneticPr fontId="38" type="noConversion"/>
  </si>
  <si>
    <t>Subscription</t>
    <phoneticPr fontId="38" type="noConversion"/>
  </si>
  <si>
    <t>Weddings and Events</t>
    <phoneticPr fontId="38" type="noConversion"/>
  </si>
  <si>
    <t>Grocery Stores/Supermarkets</t>
    <phoneticPr fontId="38" type="noConversion"/>
  </si>
  <si>
    <t>Plant Material</t>
    <phoneticPr fontId="38" type="noConversion"/>
  </si>
  <si>
    <t>Seeds</t>
    <phoneticPr fontId="38" type="noConversion"/>
  </si>
  <si>
    <t>Transplants/Seedlings</t>
    <phoneticPr fontId="38" type="noConversion"/>
  </si>
  <si>
    <t>Bulbs/Corms</t>
    <phoneticPr fontId="38" type="noConversion"/>
  </si>
  <si>
    <t>Tubers</t>
    <phoneticPr fontId="38" type="noConversion"/>
  </si>
  <si>
    <t>Rhizomes</t>
    <phoneticPr fontId="38" type="noConversion"/>
  </si>
  <si>
    <t>Other - write name here</t>
    <phoneticPr fontId="38" type="noConversion"/>
  </si>
  <si>
    <t>bag, lb, mil, etc</t>
    <phoneticPr fontId="38" type="noConversion"/>
  </si>
  <si>
    <t>Compost- applied in crop production</t>
  </si>
  <si>
    <t>stem, box, etc.</t>
    <phoneticPr fontId="38" type="noConversion"/>
  </si>
  <si>
    <t>bulb, bag, etc.</t>
    <phoneticPr fontId="38" type="noConversion"/>
  </si>
  <si>
    <t>tuber, bag, etc.</t>
    <phoneticPr fontId="38" type="noConversion"/>
  </si>
  <si>
    <t>rhizome, bag, etc.</t>
    <phoneticPr fontId="38" type="noConversion"/>
  </si>
  <si>
    <t>Total Quantity</t>
    <phoneticPr fontId="38" type="noConversion"/>
  </si>
  <si>
    <t>Total Yield</t>
    <phoneticPr fontId="38" type="noConversion"/>
  </si>
  <si>
    <t>Soil and Amendments</t>
    <phoneticPr fontId="38" type="noConversion"/>
  </si>
  <si>
    <t>Water</t>
    <phoneticPr fontId="38" type="noConversion"/>
  </si>
  <si>
    <t>Plastic Mulch</t>
    <phoneticPr fontId="38" type="noConversion"/>
  </si>
  <si>
    <t>gal</t>
    <phoneticPr fontId="38" type="noConversion"/>
  </si>
  <si>
    <t>tons</t>
    <phoneticPr fontId="38" type="noConversion"/>
  </si>
  <si>
    <t>foot</t>
    <phoneticPr fontId="38" type="noConversion"/>
  </si>
  <si>
    <t>ea</t>
    <phoneticPr fontId="38" type="noConversion"/>
  </si>
  <si>
    <t>Other Materials</t>
    <phoneticPr fontId="38" type="noConversion"/>
  </si>
  <si>
    <t>Processing</t>
    <phoneticPr fontId="38" type="noConversion"/>
  </si>
  <si>
    <t>Harvesting</t>
    <phoneticPr fontId="38" type="noConversion"/>
  </si>
  <si>
    <t>Packing</t>
    <phoneticPr fontId="38" type="noConversion"/>
  </si>
  <si>
    <t>Other Post-Harvest Labor</t>
    <phoneticPr fontId="38" type="noConversion"/>
  </si>
  <si>
    <t xml:space="preserve">Post-Harvest - Labor Cost </t>
    <phoneticPr fontId="38" type="noConversion"/>
  </si>
  <si>
    <t>Total Cost per bed</t>
    <phoneticPr fontId="38" type="noConversion"/>
  </si>
  <si>
    <r>
      <t xml:space="preserve">Time Spent </t>
    </r>
    <r>
      <rPr>
        <b/>
        <sz val="14"/>
        <color rgb="FFC00000"/>
        <rFont val="DengXian"/>
        <family val="4"/>
        <charset val="134"/>
        <scheme val="minor"/>
      </rPr>
      <t>Per Bed</t>
    </r>
  </si>
  <si>
    <t>Unit</t>
    <phoneticPr fontId="38" type="noConversion"/>
  </si>
  <si>
    <t>Total Direct Labor Costs</t>
    <phoneticPr fontId="38" type="noConversion"/>
  </si>
  <si>
    <t>Total Time for This Cut Flower</t>
    <phoneticPr fontId="38" type="noConversion"/>
  </si>
  <si>
    <t>Planting</t>
    <phoneticPr fontId="38" type="noConversion"/>
  </si>
  <si>
    <t xml:space="preserve">Plant Culture (Manual or Machine Operation) - Labor Cost </t>
    <phoneticPr fontId="38" type="noConversion"/>
  </si>
  <si>
    <t>Weeding</t>
    <phoneticPr fontId="38" type="noConversion"/>
  </si>
  <si>
    <t>Irrigation and Fertilization</t>
    <phoneticPr fontId="38" type="noConversion"/>
  </si>
  <si>
    <t>Pruning and Deadheading</t>
    <phoneticPr fontId="38" type="noConversion"/>
  </si>
  <si>
    <t>Pest and Disease Management</t>
    <phoneticPr fontId="38" type="noConversion"/>
  </si>
  <si>
    <t>Bed Length</t>
    <phoneticPr fontId="38" type="noConversion"/>
  </si>
  <si>
    <t>Total Beds for This Cut Flower</t>
    <phoneticPr fontId="38" type="noConversion"/>
  </si>
  <si>
    <t>1 Bed Yield Estimate</t>
    <phoneticPr fontId="38" type="noConversion"/>
  </si>
  <si>
    <t>Step 2: Project Yield</t>
    <phoneticPr fontId="38" type="noConversion"/>
  </si>
  <si>
    <t>Step 1: Project Income</t>
    <phoneticPr fontId="38" type="noConversion"/>
  </si>
  <si>
    <t>Step 3: Direct Labor Cost</t>
    <phoneticPr fontId="38" type="noConversion"/>
  </si>
  <si>
    <t>Laying Irrigation Lines</t>
    <phoneticPr fontId="38" type="noConversion"/>
  </si>
  <si>
    <t>hours</t>
    <phoneticPr fontId="38" type="noConversion"/>
  </si>
  <si>
    <t xml:space="preserve">Others - Labor Cost </t>
    <phoneticPr fontId="38" type="noConversion"/>
  </si>
  <si>
    <t>Repairs and Maintenance: High Tunnels/Hood House</t>
    <phoneticPr fontId="38" type="noConversion"/>
  </si>
  <si>
    <t>Transportation to Markets</t>
    <phoneticPr fontId="38" type="noConversion"/>
  </si>
  <si>
    <t>Advertising/Marketing</t>
    <phoneticPr fontId="38" type="noConversion"/>
  </si>
  <si>
    <t>Crop Sorting and Grading Equipment</t>
    <phoneticPr fontId="38" type="noConversion"/>
  </si>
  <si>
    <t>Branding:  banners, info signs, etc.</t>
  </si>
  <si>
    <t>Display: tables, baskets, boxes, tablecloths, racks</t>
  </si>
  <si>
    <t>Owner 1 Annual Salary</t>
    <phoneticPr fontId="38" type="noConversion"/>
  </si>
  <si>
    <t>Owner 2 Annual Salary</t>
    <phoneticPr fontId="38" type="noConversion"/>
  </si>
  <si>
    <t>Weeks per Year</t>
    <phoneticPr fontId="38" type="noConversion"/>
  </si>
  <si>
    <t>Hours per Week</t>
    <phoneticPr fontId="38" type="noConversion"/>
  </si>
  <si>
    <t>Total Hours</t>
    <phoneticPr fontId="38" type="noConversion"/>
  </si>
  <si>
    <t>hourly Wage</t>
    <phoneticPr fontId="38" type="noConversion"/>
  </si>
  <si>
    <t>Cost</t>
    <phoneticPr fontId="38" type="noConversion"/>
  </si>
  <si>
    <t>Crop Profit</t>
    <phoneticPr fontId="38" type="noConversion"/>
  </si>
  <si>
    <r>
      <t>The materials and labor needed to produce this crop. These costs vary relative to the number of units produced.  Also called</t>
    </r>
    <r>
      <rPr>
        <sz val="11"/>
        <color theme="1"/>
        <rFont val="DengXian"/>
        <family val="2"/>
        <scheme val="minor"/>
      </rPr>
      <t xml:space="preserve"> </t>
    </r>
    <r>
      <rPr>
        <i/>
        <sz val="11"/>
        <color theme="7" tint="-0.249977111117893"/>
        <rFont val="DengXian"/>
        <family val="2"/>
        <scheme val="minor"/>
      </rPr>
      <t xml:space="preserve">variable costs </t>
    </r>
    <r>
      <rPr>
        <sz val="11"/>
        <rFont val="DengXian"/>
        <family val="4"/>
        <charset val="134"/>
      </rPr>
      <t>or</t>
    </r>
    <r>
      <rPr>
        <i/>
        <sz val="11"/>
        <color theme="7" tint="-0.249977111117893"/>
        <rFont val="DengXian"/>
        <family val="2"/>
        <scheme val="minor"/>
      </rPr>
      <t xml:space="preserve"> cost of goods and services (COGS)</t>
    </r>
    <r>
      <rPr>
        <sz val="11"/>
        <color theme="1"/>
        <rFont val="DengXian"/>
        <family val="2"/>
        <scheme val="minor"/>
      </rPr>
      <t>.</t>
    </r>
    <phoneticPr fontId="38" type="noConversion"/>
  </si>
  <si>
    <t>Farm Business Parameters</t>
  </si>
  <si>
    <t>Total Annual Sales - Orchard / Perennial Crops</t>
  </si>
  <si>
    <t>Total Annual Sales - Livestock</t>
  </si>
  <si>
    <t xml:space="preserve">Total Annual Sales - Other </t>
  </si>
  <si>
    <t>Total Farm Sales</t>
  </si>
  <si>
    <t>Describe Your Farm</t>
    <phoneticPr fontId="38" type="noConversion"/>
  </si>
  <si>
    <t>Total</t>
    <phoneticPr fontId="38" type="noConversion"/>
  </si>
  <si>
    <t>Total Annual Sales - Other Row Crops</t>
    <phoneticPr fontId="38" type="noConversion"/>
  </si>
  <si>
    <t>Other Row Crops</t>
    <phoneticPr fontId="38" type="noConversion"/>
  </si>
  <si>
    <t>Cut Flower 1-10</t>
    <phoneticPr fontId="38" type="noConversion"/>
  </si>
  <si>
    <t>Total Revenue</t>
    <phoneticPr fontId="38" type="noConversion"/>
  </si>
  <si>
    <t>Total Direct Cost</t>
    <phoneticPr fontId="38" type="noConversion"/>
  </si>
  <si>
    <t>Gross Profit</t>
    <phoneticPr fontId="38" type="noConversion"/>
  </si>
  <si>
    <t xml:space="preserve">      Labor Overhead</t>
    <phoneticPr fontId="38" type="noConversion"/>
  </si>
  <si>
    <t xml:space="preserve">      Cash Overhead</t>
    <phoneticPr fontId="38" type="noConversion"/>
  </si>
  <si>
    <t xml:space="preserve">      Depreciation Overhead</t>
    <phoneticPr fontId="38" type="noConversion"/>
  </si>
  <si>
    <t>Operating Margin</t>
    <phoneticPr fontId="38" type="noConversion"/>
  </si>
  <si>
    <t>Operating Income</t>
    <phoneticPr fontId="38" type="noConversion"/>
  </si>
  <si>
    <t>Interest expense</t>
    <phoneticPr fontId="38" type="noConversion"/>
  </si>
  <si>
    <t>Income before Tax</t>
    <phoneticPr fontId="38" type="noConversion"/>
  </si>
  <si>
    <t>Income Tax Expense</t>
    <phoneticPr fontId="38" type="noConversion"/>
  </si>
  <si>
    <t>Net Income</t>
    <phoneticPr fontId="38" type="noConversion"/>
  </si>
  <si>
    <t>Net Profit Margin</t>
    <phoneticPr fontId="38" type="noConversion"/>
  </si>
  <si>
    <t>Total Overhead Cost</t>
    <phoneticPr fontId="38" type="noConversion"/>
  </si>
  <si>
    <t>Overhead Allocations</t>
    <phoneticPr fontId="38" type="noConversion"/>
  </si>
  <si>
    <t>Sales</t>
    <phoneticPr fontId="38" type="noConversion"/>
  </si>
  <si>
    <t>Allocated Overhead Cost</t>
    <phoneticPr fontId="38" type="noConversion"/>
  </si>
  <si>
    <t>Overhead Allocations to Each Cut Flower</t>
    <phoneticPr fontId="38" type="noConversion"/>
  </si>
  <si>
    <t>Overhead Allocations to Each Enterprise</t>
    <phoneticPr fontId="38" type="noConversion"/>
  </si>
  <si>
    <t>Debt Borrowing</t>
    <phoneticPr fontId="38" type="noConversion"/>
  </si>
  <si>
    <t>Principal</t>
    <phoneticPr fontId="38" type="noConversion"/>
  </si>
  <si>
    <t>Interest Rate</t>
    <phoneticPr fontId="38" type="noConversion"/>
  </si>
  <si>
    <t>Bank Loan - write name here</t>
    <phoneticPr fontId="38" type="noConversion"/>
  </si>
  <si>
    <t>Labor Overhead Costs</t>
    <phoneticPr fontId="38" type="noConversion"/>
  </si>
  <si>
    <t>Capital Purchase and Depreciation Overhead Costs</t>
    <phoneticPr fontId="38" type="noConversion"/>
  </si>
  <si>
    <t>Total employee wages before taxes and insurance:</t>
    <phoneticPr fontId="38" type="noConversion"/>
  </si>
  <si>
    <t xml:space="preserve">      Owner Production Hours</t>
    <phoneticPr fontId="38" type="noConversion"/>
  </si>
  <si>
    <t>Farm Buildings</t>
    <phoneticPr fontId="38" type="noConversion"/>
  </si>
  <si>
    <t>Farm Vehicles</t>
    <phoneticPr fontId="38" type="noConversion"/>
  </si>
  <si>
    <t>Farmer's Market Stall Materials</t>
    <phoneticPr fontId="38" type="noConversion"/>
  </si>
  <si>
    <t xml:space="preserve"> Purchase Price  </t>
  </si>
  <si>
    <t xml:space="preserve"> Useful Life Span (years) </t>
  </si>
  <si>
    <t xml:space="preserve"> Yearly Depreciation </t>
  </si>
  <si>
    <t>Field Infrastructure</t>
    <phoneticPr fontId="38" type="noConversion"/>
  </si>
  <si>
    <t>Processing Equipment</t>
    <phoneticPr fontId="38" type="noConversion"/>
  </si>
  <si>
    <t>Hand Tools</t>
    <phoneticPr fontId="38" type="noConversion"/>
  </si>
  <si>
    <t>Other Capital Expenses</t>
    <phoneticPr fontId="38" type="noConversion"/>
  </si>
  <si>
    <t>Amount</t>
    <phoneticPr fontId="38" type="noConversion"/>
  </si>
  <si>
    <t>Utilities</t>
    <phoneticPr fontId="38" type="noConversion"/>
  </si>
  <si>
    <t>Repairs and Maintenance</t>
    <phoneticPr fontId="38" type="noConversion"/>
  </si>
  <si>
    <t>Administrative Expenses</t>
    <phoneticPr fontId="38" type="noConversion"/>
  </si>
  <si>
    <t>Land Use Expenses</t>
    <phoneticPr fontId="38" type="noConversion"/>
  </si>
  <si>
    <t>Fuel</t>
    <phoneticPr fontId="38" type="noConversion"/>
  </si>
  <si>
    <t>Misc. Overhead Crop Expenses</t>
    <phoneticPr fontId="38" type="noConversion"/>
  </si>
  <si>
    <t>Dues, Certificates, and Other Fees</t>
    <phoneticPr fontId="38" type="noConversion"/>
  </si>
  <si>
    <t>Other Overhead Expenses</t>
    <phoneticPr fontId="38" type="noConversion"/>
  </si>
  <si>
    <t>"Total Yield" should be no less than "Total Units Sold" in "Step 1: Project Income"</t>
    <phoneticPr fontId="38" type="noConversion"/>
  </si>
  <si>
    <t>Direct Labor Costs per Bed</t>
    <phoneticPr fontId="38" type="noConversion"/>
  </si>
  <si>
    <t>Total Time</t>
    <phoneticPr fontId="38" type="noConversion"/>
  </si>
  <si>
    <t xml:space="preserve">      Loaded Labor Rate</t>
    <phoneticPr fontId="38" type="noConversion"/>
  </si>
  <si>
    <t xml:space="preserve">      Employee Production Hours</t>
    <phoneticPr fontId="38" type="noConversion"/>
  </si>
  <si>
    <t>Workers Compensation</t>
    <phoneticPr fontId="38" type="noConversion"/>
  </si>
  <si>
    <t>Payroll Tax</t>
    <phoneticPr fontId="38" type="noConversion"/>
  </si>
  <si>
    <t xml:space="preserve">      Payroll Tax %</t>
    <phoneticPr fontId="38" type="noConversion"/>
  </si>
  <si>
    <t>Total Overhead Labor Costs</t>
    <phoneticPr fontId="38" type="noConversion"/>
  </si>
  <si>
    <t>Step 4: Direct Material Cost</t>
    <phoneticPr fontId="38" type="noConversion"/>
  </si>
  <si>
    <t>Production Direct Material Costs</t>
    <phoneticPr fontId="38" type="noConversion"/>
  </si>
  <si>
    <t>Pesticides</t>
    <phoneticPr fontId="38" type="noConversion"/>
  </si>
  <si>
    <t>Fertilizers</t>
    <phoneticPr fontId="38" type="noConversion"/>
  </si>
  <si>
    <t>Post-Harvest Direct Material Costs:</t>
    <phoneticPr fontId="38" type="noConversion"/>
  </si>
  <si>
    <t>Direct Material Costs Per Bed</t>
    <phoneticPr fontId="38" type="noConversion"/>
  </si>
  <si>
    <t>Total Direct Material Costs</t>
    <phoneticPr fontId="38" type="noConversion"/>
  </si>
  <si>
    <t>Grocery Store/Supermarket Costs</t>
    <phoneticPr fontId="38" type="noConversion"/>
  </si>
  <si>
    <t>Subscription Costs</t>
    <phoneticPr fontId="38" type="noConversion"/>
  </si>
  <si>
    <t>Weddings and Events Costs</t>
    <phoneticPr fontId="38" type="noConversion"/>
  </si>
  <si>
    <t>All Cut Flowers Assessment</t>
    <phoneticPr fontId="38" type="noConversion"/>
  </si>
  <si>
    <t>Annual Interest Expense</t>
    <phoneticPr fontId="38" type="noConversion"/>
  </si>
  <si>
    <t xml:space="preserve">The amount of money left after direct expenses and allocated overhead costs are paid.  </t>
    <phoneticPr fontId="38" type="noConversion"/>
  </si>
  <si>
    <t>Cut Flower Business Analysis</t>
    <phoneticPr fontId="38" type="noConversion"/>
  </si>
  <si>
    <t>Whole Farm Business Analysis</t>
    <phoneticPr fontId="38" type="noConversion"/>
  </si>
  <si>
    <t>Business Sector</t>
    <phoneticPr fontId="38" type="noConversion"/>
  </si>
  <si>
    <t>Percentage</t>
    <phoneticPr fontId="38" type="noConversion"/>
  </si>
  <si>
    <t>Debt Type</t>
    <phoneticPr fontId="38" type="noConversion"/>
  </si>
  <si>
    <t>% of Total Farm Sales</t>
    <phoneticPr fontId="38" type="noConversion"/>
  </si>
  <si>
    <t>Cut Flower</t>
    <phoneticPr fontId="38" type="noConversion"/>
  </si>
  <si>
    <t xml:space="preserve">      Income Tax Rate</t>
    <phoneticPr fontId="38" type="noConversion"/>
  </si>
  <si>
    <t xml:space="preserve">      Direct Cost for Other 
      Business Besides Cut Flower</t>
    <phoneticPr fontId="38" type="noConversion"/>
  </si>
  <si>
    <t xml:space="preserve">      Direct Cost For Cut Flower 1-10</t>
    <phoneticPr fontId="38" type="noConversion"/>
  </si>
  <si>
    <t>Enter information in yellow cells only!</t>
    <phoneticPr fontId="38" type="noConversion"/>
  </si>
  <si>
    <t>Actual Profit Earned</t>
    <phoneticPr fontId="38" type="noConversion"/>
  </si>
  <si>
    <r>
      <t>This is the amount of money you have to contribute to overhead expenses and profit.  Also called</t>
    </r>
    <r>
      <rPr>
        <sz val="11"/>
        <color theme="1"/>
        <rFont val="DengXian"/>
        <family val="2"/>
        <scheme val="minor"/>
      </rPr>
      <t xml:space="preserve"> </t>
    </r>
    <r>
      <rPr>
        <i/>
        <sz val="11"/>
        <color theme="7" tint="-0.249977111117893"/>
        <rFont val="DengXian"/>
        <family val="2"/>
        <scheme val="minor"/>
      </rPr>
      <t>gross margin</t>
    </r>
    <r>
      <rPr>
        <sz val="11"/>
        <color theme="1"/>
        <rFont val="DengXian"/>
        <family val="2"/>
        <scheme val="minor"/>
      </rPr>
      <t xml:space="preserve"> </t>
    </r>
    <r>
      <rPr>
        <sz val="10"/>
        <color theme="1"/>
        <rFont val="DengXian"/>
        <family val="2"/>
        <scheme val="minor"/>
      </rPr>
      <t xml:space="preserve">or </t>
    </r>
    <r>
      <rPr>
        <i/>
        <sz val="11"/>
        <color theme="7" tint="-0.249977111117893"/>
        <rFont val="DengXian"/>
        <family val="2"/>
        <scheme val="minor"/>
      </rPr>
      <t>contribution margin</t>
    </r>
    <r>
      <rPr>
        <sz val="10"/>
        <color theme="1"/>
        <rFont val="DengXian"/>
        <family val="2"/>
        <scheme val="minor"/>
      </rPr>
      <t xml:space="preserve">. </t>
    </r>
    <phoneticPr fontId="38" type="noConversion"/>
  </si>
  <si>
    <r>
      <t xml:space="preserve">Crop Income minus Direct Crop Expense. This is the amount of money you have to contribute to overhead expenses and profit.  Also called </t>
    </r>
    <r>
      <rPr>
        <i/>
        <sz val="14"/>
        <color theme="7"/>
        <rFont val="DengXian"/>
        <family val="2"/>
        <scheme val="minor"/>
      </rPr>
      <t>gross margin</t>
    </r>
    <r>
      <rPr>
        <sz val="14"/>
        <color theme="1"/>
        <rFont val="DengXian"/>
        <family val="2"/>
        <scheme val="minor"/>
      </rPr>
      <t xml:space="preserve"> or </t>
    </r>
    <r>
      <rPr>
        <i/>
        <sz val="14"/>
        <color theme="7"/>
        <rFont val="DengXian"/>
        <family val="2"/>
        <scheme val="minor"/>
      </rPr>
      <t>contribution margin</t>
    </r>
    <r>
      <rPr>
        <sz val="14"/>
        <color theme="1"/>
        <rFont val="DengXian"/>
        <family val="2"/>
        <scheme val="minor"/>
      </rPr>
      <t xml:space="preserve">. </t>
    </r>
    <phoneticPr fontId="38" type="noConversion"/>
  </si>
  <si>
    <r>
      <t xml:space="preserve">70% or higher is the goal. This means $0.70 of every dollar earned can pay overheads and profit. Also called </t>
    </r>
    <r>
      <rPr>
        <i/>
        <sz val="11"/>
        <color theme="7" tint="-0.249977111117893"/>
        <rFont val="DengXian"/>
        <family val="2"/>
        <scheme val="minor"/>
      </rPr>
      <t>contribution margin ratio</t>
    </r>
    <r>
      <rPr>
        <i/>
        <sz val="10"/>
        <color theme="7"/>
        <rFont val="DengXian"/>
        <family val="2"/>
        <scheme val="minor"/>
      </rPr>
      <t xml:space="preserve"> </t>
    </r>
    <r>
      <rPr>
        <sz val="10"/>
        <color theme="1"/>
        <rFont val="DengXian"/>
        <family val="2"/>
        <scheme val="minor"/>
      </rPr>
      <t>or</t>
    </r>
    <r>
      <rPr>
        <sz val="11"/>
        <color theme="1"/>
        <rFont val="DengXian"/>
        <family val="2"/>
        <scheme val="minor"/>
      </rPr>
      <t xml:space="preserve"> </t>
    </r>
    <r>
      <rPr>
        <i/>
        <sz val="11"/>
        <color theme="7" tint="-0.249977111117893"/>
        <rFont val="DengXian"/>
        <family val="2"/>
        <scheme val="minor"/>
      </rPr>
      <t>gross margin ratio</t>
    </r>
    <r>
      <rPr>
        <sz val="10"/>
        <color theme="1"/>
        <rFont val="DengXian"/>
        <family val="2"/>
        <scheme val="minor"/>
      </rPr>
      <t>.</t>
    </r>
    <phoneticPr fontId="38" type="noConversion"/>
  </si>
  <si>
    <r>
      <t xml:space="preserve">Crop Profit as a percentage of Total Crop Income. 70% is the goal - $0.70 of every dollar earned contributes to overheads, profit. Also called </t>
    </r>
    <r>
      <rPr>
        <i/>
        <sz val="14"/>
        <color theme="7"/>
        <rFont val="DengXian"/>
        <family val="2"/>
        <scheme val="minor"/>
      </rPr>
      <t xml:space="preserve">contribution margin ratio </t>
    </r>
    <r>
      <rPr>
        <sz val="14"/>
        <color theme="1"/>
        <rFont val="DengXian"/>
        <family val="2"/>
        <scheme val="minor"/>
      </rPr>
      <t xml:space="preserve">or </t>
    </r>
    <r>
      <rPr>
        <i/>
        <sz val="14"/>
        <color theme="7"/>
        <rFont val="DengXian"/>
        <family val="2"/>
        <scheme val="minor"/>
      </rPr>
      <t>gross margin ratio</t>
    </r>
    <r>
      <rPr>
        <sz val="14"/>
        <color theme="1"/>
        <rFont val="DengXian"/>
        <family val="2"/>
        <scheme val="minor"/>
      </rPr>
      <t>.</t>
    </r>
    <phoneticPr fontId="38" type="noConversion"/>
  </si>
  <si>
    <r>
      <t xml:space="preserve">Total crop sales. May also be called </t>
    </r>
    <r>
      <rPr>
        <i/>
        <sz val="14"/>
        <color theme="7"/>
        <rFont val="DengXian"/>
        <family val="2"/>
        <scheme val="minor"/>
      </rPr>
      <t>revenue</t>
    </r>
    <r>
      <rPr>
        <sz val="14"/>
        <color theme="7"/>
        <rFont val="DengXian"/>
        <family val="2"/>
        <scheme val="minor"/>
      </rPr>
      <t xml:space="preserve">, </t>
    </r>
    <r>
      <rPr>
        <i/>
        <sz val="14"/>
        <color theme="7"/>
        <rFont val="DengXian"/>
        <family val="2"/>
        <scheme val="minor"/>
      </rPr>
      <t>gross sales</t>
    </r>
    <r>
      <rPr>
        <i/>
        <sz val="14"/>
        <rFont val="DengXian"/>
        <family val="2"/>
        <scheme val="minor"/>
      </rPr>
      <t xml:space="preserve"> and</t>
    </r>
    <r>
      <rPr>
        <i/>
        <sz val="14"/>
        <color theme="7"/>
        <rFont val="DengXian"/>
        <family val="2"/>
        <scheme val="minor"/>
      </rPr>
      <t xml:space="preserve"> gross product.</t>
    </r>
    <phoneticPr fontId="38" type="noConversion"/>
  </si>
  <si>
    <r>
      <t xml:space="preserve">Costs that vary relative to the number of units produced. Also called </t>
    </r>
    <r>
      <rPr>
        <i/>
        <sz val="14"/>
        <color theme="7"/>
        <rFont val="DengXian"/>
        <family val="2"/>
        <scheme val="minor"/>
      </rPr>
      <t xml:space="preserve">variable costs </t>
    </r>
    <r>
      <rPr>
        <sz val="14"/>
        <rFont val="DengXian"/>
        <family val="4"/>
        <charset val="134"/>
      </rPr>
      <t>or</t>
    </r>
    <r>
      <rPr>
        <i/>
        <sz val="14"/>
        <color theme="7"/>
        <rFont val="DengXian"/>
        <family val="2"/>
        <scheme val="minor"/>
      </rPr>
      <t xml:space="preserve"> cost of goods and services (COGS).</t>
    </r>
    <phoneticPr fontId="38" type="noConversion"/>
  </si>
  <si>
    <t>This is the direct expense of producing one unit. These are the costs that increase or decrease as the number of units produced changes.</t>
    <phoneticPr fontId="38" type="noConversion"/>
  </si>
  <si>
    <t>This allocation is based on direct expense as a % of total direct expenses. See Business Analysis tab for more info.</t>
    <phoneticPr fontId="38" type="noConversion"/>
  </si>
  <si>
    <t>The amount of overhead costs that this crop needs to pay. This allocation is based on direct expense as a % of total direct expenses. See Business Analysis tab for more info.</t>
    <phoneticPr fontId="38" type="noConversion"/>
  </si>
  <si>
    <t xml:space="preserve">  This is the percentage of every dollar earned that is used to pay overheads. The goal is 40% or lower.</t>
    <phoneticPr fontId="38" type="noConversion"/>
  </si>
  <si>
    <t xml:space="preserve">This is the percentage of every dollar earned that is used to pay overheads. The goal is 40% or lower.  </t>
    <phoneticPr fontId="38" type="noConversion"/>
  </si>
  <si>
    <r>
      <t xml:space="preserve">The true cost of production per unit (direct and overhead costs). This is your </t>
    </r>
    <r>
      <rPr>
        <i/>
        <sz val="11"/>
        <color theme="7" tint="-0.249977111117893"/>
        <rFont val="DengXian"/>
        <family val="2"/>
        <scheme val="minor"/>
      </rPr>
      <t xml:space="preserve">break-even point </t>
    </r>
    <r>
      <rPr>
        <sz val="10"/>
        <color theme="1"/>
        <rFont val="DengXian"/>
        <family val="2"/>
        <scheme val="minor"/>
      </rPr>
      <t>- Your sales price must be higher than this!</t>
    </r>
    <phoneticPr fontId="38" type="noConversion"/>
  </si>
  <si>
    <r>
      <t>The true cost of production per unit (direct and overhead costs). This is your</t>
    </r>
    <r>
      <rPr>
        <i/>
        <sz val="14"/>
        <color theme="1"/>
        <rFont val="DengXian"/>
        <family val="2"/>
        <scheme val="minor"/>
      </rPr>
      <t xml:space="preserve"> </t>
    </r>
    <r>
      <rPr>
        <i/>
        <sz val="14"/>
        <color theme="7" tint="-0.249977111117893"/>
        <rFont val="DengXian"/>
        <family val="2"/>
        <scheme val="minor"/>
      </rPr>
      <t xml:space="preserve">break-even point </t>
    </r>
    <r>
      <rPr>
        <sz val="16"/>
        <color theme="7" tint="-0.249977111117893"/>
        <rFont val="DengXian"/>
        <family val="2"/>
        <scheme val="minor"/>
      </rPr>
      <t>-</t>
    </r>
    <r>
      <rPr>
        <sz val="14"/>
        <color theme="1"/>
        <rFont val="DengXian"/>
        <family val="2"/>
        <scheme val="minor"/>
      </rPr>
      <t xml:space="preserve"> Your sales price must be higher than this!</t>
    </r>
    <phoneticPr fontId="38" type="noConversion"/>
  </si>
  <si>
    <r>
      <t>Crop Profit divided by total number of bed feet. Also called</t>
    </r>
    <r>
      <rPr>
        <sz val="10"/>
        <color theme="7" tint="-0.249977111117893"/>
        <rFont val="DengXian"/>
        <family val="2"/>
        <scheme val="minor"/>
      </rPr>
      <t xml:space="preserve"> </t>
    </r>
    <r>
      <rPr>
        <i/>
        <sz val="11"/>
        <color theme="7" tint="-0.249977111117893"/>
        <rFont val="DengXian"/>
        <family val="2"/>
        <scheme val="minor"/>
      </rPr>
      <t>gross margin per bed foot</t>
    </r>
    <r>
      <rPr>
        <sz val="11"/>
        <color theme="7" tint="0.39997558519241921"/>
        <rFont val="DengXian"/>
        <family val="2"/>
        <scheme val="minor"/>
      </rPr>
      <t xml:space="preserve">. </t>
    </r>
    <r>
      <rPr>
        <sz val="10"/>
        <color theme="1"/>
        <rFont val="DengXian"/>
        <family val="2"/>
        <scheme val="minor"/>
      </rPr>
      <t>Compare across crops to determine the best use of bed space.</t>
    </r>
    <phoneticPr fontId="38" type="noConversion"/>
  </si>
  <si>
    <r>
      <t xml:space="preserve">Crop Profit divided by total number of bed feet. Also called </t>
    </r>
    <r>
      <rPr>
        <i/>
        <sz val="14"/>
        <color rgb="FF8064A2"/>
        <rFont val="DengXian"/>
        <family val="4"/>
        <charset val="134"/>
        <scheme val="minor"/>
      </rPr>
      <t>gross margin per bed foot</t>
    </r>
    <r>
      <rPr>
        <sz val="14"/>
        <rFont val="DengXian"/>
        <family val="4"/>
        <charset val="134"/>
      </rPr>
      <t xml:space="preserve">. Compare across crops to determine the best use of bed space. </t>
    </r>
    <phoneticPr fontId="38" type="noConversion"/>
  </si>
  <si>
    <t>Profit per Bed Foot</t>
    <phoneticPr fontId="38" type="noConversion"/>
  </si>
  <si>
    <t>This is the total capital purchase you invested at the very beginning</t>
    <phoneticPr fontId="38" type="noConversion"/>
  </si>
  <si>
    <t>Years of Cut Flower Operation</t>
    <phoneticPr fontId="38" type="noConversion"/>
  </si>
  <si>
    <t>Net Present Value (NPV)</t>
    <phoneticPr fontId="38" type="noConversion"/>
  </si>
  <si>
    <t>Internal Rate of Return (IRR)</t>
    <phoneticPr fontId="38" type="noConversion"/>
  </si>
  <si>
    <t>Profitability Index (PI)</t>
    <phoneticPr fontId="38" type="noConversion"/>
  </si>
  <si>
    <t>Discount Rate</t>
    <phoneticPr fontId="38" type="noConversion"/>
  </si>
  <si>
    <t>IRR indiates the annualized rate of return of this investment. You should expect an IRR higher than the discount rate you entered above.</t>
    <phoneticPr fontId="38" type="noConversion"/>
  </si>
  <si>
    <t>Payback Period (years)</t>
    <phoneticPr fontId="38" type="noConversion"/>
  </si>
  <si>
    <t>Initial Cash Outflow</t>
    <phoneticPr fontId="38" type="noConversion"/>
  </si>
  <si>
    <t>Interim Annual Cash Inflow</t>
    <phoneticPr fontId="38" type="noConversion"/>
  </si>
  <si>
    <t>How many years do you expect to run this cut flower business</t>
    <phoneticPr fontId="38" type="noConversion"/>
  </si>
  <si>
    <t>This rate is opportunity cost of putting your money to work elsewhere, as well as the required rate of return. For example, if you can borrow a loan at 5% interest rate, you should expect a rate of return higher than 5% by investing in the cut flower business.</t>
    <phoneticPr fontId="38" type="noConversion"/>
  </si>
  <si>
    <t>NPV discounts all future cash inflows and outflows to today. You should expect an NPV larger than zero.</t>
    <phoneticPr fontId="38" type="noConversion"/>
  </si>
  <si>
    <t>Cash Flow</t>
    <phoneticPr fontId="38" type="noConversion"/>
  </si>
  <si>
    <t>Year</t>
    <phoneticPr fontId="38" type="noConversion"/>
  </si>
  <si>
    <t>PI is a measure of investment efficiency, that is, how much the present value of cash inflows is generated by investing one dollar in a project. You should expect PI larger than 1</t>
    <phoneticPr fontId="38" type="noConversion"/>
  </si>
  <si>
    <t>The amount of time it takes to recover (i.e. breakeven) the cost of an investment. Note this ratio does not take into account the time value of money. One dollar today is worth more than one dollar in the future. The opportunity cost is not considered here.</t>
    <phoneticPr fontId="38" type="noConversion"/>
  </si>
  <si>
    <t>Cash Flows by Year (only used for internal calculation</t>
    <phoneticPr fontId="38" type="noConversion"/>
  </si>
  <si>
    <t>Current</t>
    <phoneticPr fontId="38" type="noConversion"/>
  </si>
  <si>
    <t>Scenario A</t>
    <phoneticPr fontId="38" type="noConversion"/>
  </si>
  <si>
    <t>Scenario B</t>
    <phoneticPr fontId="38" type="noConversion"/>
  </si>
  <si>
    <t>Direct Crop Expense</t>
    <phoneticPr fontId="38" type="noConversion"/>
  </si>
  <si>
    <t>Average Sales Price per Unit</t>
    <phoneticPr fontId="38" type="noConversion"/>
  </si>
  <si>
    <t>Current Scenario</t>
    <phoneticPr fontId="38" type="noConversion"/>
  </si>
  <si>
    <t>Gross Margin</t>
    <phoneticPr fontId="38" type="noConversion"/>
  </si>
  <si>
    <t>This is calculated by (sales income-all operating expenses) * (1-tax rate) + depreciation</t>
    <phoneticPr fontId="38" type="noConversion"/>
  </si>
  <si>
    <t>(only used for internal calculation)</t>
    <phoneticPr fontId="38" type="noConversion"/>
  </si>
  <si>
    <t>Cash Flows by Year (Scenario A)</t>
    <phoneticPr fontId="38" type="noConversion"/>
  </si>
  <si>
    <t>Cash Flows by Year (Scenario B)</t>
    <phoneticPr fontId="38" type="noConversion"/>
  </si>
  <si>
    <r>
      <t>Owner hours worked per week in 1</t>
    </r>
    <r>
      <rPr>
        <vertAlign val="superscript"/>
        <sz val="14"/>
        <color theme="1"/>
        <rFont val="DengXian"/>
        <family val="3"/>
        <charset val="134"/>
      </rPr>
      <t>st</t>
    </r>
    <r>
      <rPr>
        <sz val="14"/>
        <color theme="1"/>
        <rFont val="DengXian"/>
        <family val="4"/>
        <charset val="134"/>
        <scheme val="minor"/>
      </rPr>
      <t xml:space="preserve"> quarter</t>
    </r>
    <phoneticPr fontId="38" type="noConversion"/>
  </si>
  <si>
    <r>
      <t>Owner hours worked per week in 2</t>
    </r>
    <r>
      <rPr>
        <vertAlign val="superscript"/>
        <sz val="14"/>
        <color theme="1"/>
        <rFont val="DengXian"/>
        <family val="3"/>
      </rPr>
      <t>nd</t>
    </r>
    <r>
      <rPr>
        <sz val="14"/>
        <color theme="1"/>
        <rFont val="DengXian"/>
        <family val="4"/>
        <charset val="134"/>
        <scheme val="minor"/>
      </rPr>
      <t xml:space="preserve"> quarter</t>
    </r>
    <phoneticPr fontId="38" type="noConversion"/>
  </si>
  <si>
    <r>
      <t>Owner hours worked per week in 3</t>
    </r>
    <r>
      <rPr>
        <vertAlign val="superscript"/>
        <sz val="14"/>
        <color theme="1"/>
        <rFont val="DengXian"/>
        <family val="3"/>
      </rPr>
      <t>rd</t>
    </r>
    <r>
      <rPr>
        <sz val="14"/>
        <color theme="1"/>
        <rFont val="DengXian"/>
        <family val="4"/>
        <charset val="134"/>
        <scheme val="minor"/>
      </rPr>
      <t xml:space="preserve"> quarter</t>
    </r>
    <phoneticPr fontId="38" type="noConversion"/>
  </si>
  <si>
    <r>
      <t>Owner hours worked per week in 4</t>
    </r>
    <r>
      <rPr>
        <vertAlign val="superscript"/>
        <sz val="14"/>
        <color theme="1"/>
        <rFont val="DengXian"/>
        <family val="3"/>
      </rPr>
      <t>th</t>
    </r>
    <r>
      <rPr>
        <sz val="14"/>
        <color theme="1"/>
        <rFont val="DengXian"/>
        <family val="4"/>
        <charset val="134"/>
        <scheme val="minor"/>
      </rPr>
      <t xml:space="preserve"> quarter</t>
    </r>
    <phoneticPr fontId="38" type="noConversion"/>
  </si>
  <si>
    <r>
      <rPr>
        <vertAlign val="superscript"/>
        <sz val="11"/>
        <color rgb="FF000000"/>
        <rFont val="DengXian"/>
        <family val="3"/>
      </rPr>
      <t xml:space="preserve">2 </t>
    </r>
    <r>
      <rPr>
        <sz val="11"/>
        <color rgb="FF000000"/>
        <rFont val="DengXian"/>
        <family val="4"/>
        <charset val="134"/>
        <scheme val="minor"/>
      </rPr>
      <t>To calculate production costs, we need an hourly rate to apply to tasks done by the owner. We suggest at least $15/hour. Owner hours are valuable! Compare to the actual owner hourly wage from the owner labor calculator.</t>
    </r>
    <phoneticPr fontId="38" type="noConversion"/>
  </si>
  <si>
    <r>
      <t>Owner Production Labor</t>
    </r>
    <r>
      <rPr>
        <vertAlign val="superscript"/>
        <sz val="14"/>
        <rFont val="DengXian"/>
        <family val="3"/>
        <charset val="134"/>
      </rPr>
      <t>1</t>
    </r>
    <phoneticPr fontId="38" type="noConversion"/>
  </si>
  <si>
    <r>
      <t xml:space="preserve">      Owner Hourly Wage</t>
    </r>
    <r>
      <rPr>
        <vertAlign val="superscript"/>
        <sz val="14"/>
        <rFont val="DengXian"/>
        <family val="3"/>
        <charset val="134"/>
      </rPr>
      <t>2</t>
    </r>
    <phoneticPr fontId="38" type="noConversion"/>
  </si>
  <si>
    <r>
      <rPr>
        <vertAlign val="superscript"/>
        <sz val="11"/>
        <color theme="1"/>
        <rFont val="DengXian"/>
        <family val="3"/>
      </rPr>
      <t xml:space="preserve">1 </t>
    </r>
    <r>
      <rPr>
        <sz val="11"/>
        <color theme="1"/>
        <rFont val="DengXian"/>
        <family val="4"/>
        <charset val="134"/>
        <scheme val="minor"/>
      </rPr>
      <t>We subtract the owner production labor entered throughout this workbook. This ensures that we are not double-counting any labor costs.</t>
    </r>
    <phoneticPr fontId="38" type="noConversion"/>
  </si>
  <si>
    <r>
      <t>Total Owner Overhead Labor Costs</t>
    </r>
    <r>
      <rPr>
        <vertAlign val="superscript"/>
        <sz val="14"/>
        <rFont val="DengXian"/>
        <family val="3"/>
        <charset val="134"/>
      </rPr>
      <t>3</t>
    </r>
    <phoneticPr fontId="38" type="noConversion"/>
  </si>
  <si>
    <r>
      <rPr>
        <vertAlign val="superscript"/>
        <sz val="11"/>
        <color rgb="FF000000"/>
        <rFont val="DengXian"/>
        <family val="3"/>
      </rPr>
      <t>3</t>
    </r>
    <r>
      <rPr>
        <sz val="11"/>
        <color rgb="FF000000"/>
        <rFont val="DengXian"/>
        <family val="3"/>
        <scheme val="minor"/>
      </rPr>
      <t>This is the owber labor cost for hours worked other than production labor.</t>
    </r>
    <phoneticPr fontId="38" type="noConversion"/>
  </si>
  <si>
    <r>
      <t>Employee Production Labor</t>
    </r>
    <r>
      <rPr>
        <vertAlign val="superscript"/>
        <sz val="14"/>
        <color theme="1"/>
        <rFont val="DengXian"/>
        <family val="3"/>
        <charset val="134"/>
      </rPr>
      <t>4</t>
    </r>
    <phoneticPr fontId="38" type="noConversion"/>
  </si>
  <si>
    <r>
      <t>Total Employee Overhead Labor Costs</t>
    </r>
    <r>
      <rPr>
        <vertAlign val="superscript"/>
        <sz val="14"/>
        <color theme="1"/>
        <rFont val="DengXian"/>
        <family val="3"/>
      </rPr>
      <t>5</t>
    </r>
    <phoneticPr fontId="38" type="noConversion"/>
  </si>
  <si>
    <r>
      <rPr>
        <vertAlign val="superscript"/>
        <sz val="11"/>
        <color theme="1"/>
        <rFont val="DengXian (正文)"/>
        <family val="3"/>
        <charset val="134"/>
      </rPr>
      <t>4</t>
    </r>
    <r>
      <rPr>
        <sz val="11"/>
        <color theme="1"/>
        <rFont val="DengXian (正文)"/>
        <family val="3"/>
        <charset val="134"/>
      </rPr>
      <t>We subtract the employee production labor entered throughout this workbook. This ensures that we are not double-counting any labor costs.</t>
    </r>
    <phoneticPr fontId="38" type="noConversion"/>
  </si>
  <si>
    <r>
      <rPr>
        <vertAlign val="superscript"/>
        <sz val="11"/>
        <color theme="1"/>
        <rFont val="DengXian"/>
        <family val="4"/>
        <charset val="134"/>
      </rPr>
      <t>5</t>
    </r>
    <r>
      <rPr>
        <sz val="11"/>
        <color theme="1"/>
        <rFont val="DengXian"/>
        <family val="3"/>
      </rPr>
      <t>This is the amount you pay employees for hours worked other than production labor.</t>
    </r>
    <phoneticPr fontId="38" type="noConversion"/>
  </si>
  <si>
    <t>Hightunnels/Greenhouses</t>
    <phoneticPr fontId="38" type="noConversion"/>
  </si>
  <si>
    <t>Hightunnel Structure Costs</t>
    <phoneticPr fontId="38" type="noConversion"/>
  </si>
  <si>
    <t>Greenhouse Structural Costs</t>
    <phoneticPr fontId="38" type="noConversion"/>
  </si>
  <si>
    <t>Other Hightunnels/Greenhouses</t>
    <phoneticPr fontId="38" type="noConversion"/>
  </si>
  <si>
    <t>Salvage Value</t>
    <phoneticPr fontId="38" type="noConversion"/>
  </si>
  <si>
    <t>Tractors and Implements</t>
    <phoneticPr fontId="38" type="noConversion"/>
  </si>
  <si>
    <t>stem, bouquet, lbs, bucket, jar</t>
    <phoneticPr fontId="38" type="noConversion"/>
  </si>
  <si>
    <t>Tax Prep and Administration</t>
    <phoneticPr fontId="38" type="noConversion"/>
  </si>
  <si>
    <t>inch</t>
    <phoneticPr fontId="38" type="noConversion"/>
  </si>
  <si>
    <t>Bed Width</t>
    <phoneticPr fontId="38" type="noConversion"/>
  </si>
  <si>
    <t>Planting Spacing</t>
    <phoneticPr fontId="38" type="noConversion"/>
  </si>
  <si>
    <t>Yield per Plant</t>
    <phoneticPr fontId="38" type="noConversion"/>
  </si>
  <si>
    <t>Some reference plant spacing from Jonny's Selected Seeds</t>
    <phoneticPr fontId="38" type="noConversion"/>
  </si>
  <si>
    <t>Celosia</t>
    <phoneticPr fontId="38" type="noConversion"/>
  </si>
  <si>
    <t>9-12"</t>
    <phoneticPr fontId="38" type="noConversion"/>
  </si>
  <si>
    <t>China Aster</t>
    <phoneticPr fontId="38" type="noConversion"/>
  </si>
  <si>
    <t>6-12"</t>
    <phoneticPr fontId="38" type="noConversion"/>
  </si>
  <si>
    <t>Columbine</t>
    <phoneticPr fontId="38" type="noConversion"/>
  </si>
  <si>
    <t>10-15"</t>
    <phoneticPr fontId="38" type="noConversion"/>
  </si>
  <si>
    <t>Cosmos</t>
    <phoneticPr fontId="38" type="noConversion"/>
  </si>
  <si>
    <t>Larkspur</t>
    <phoneticPr fontId="38" type="noConversion"/>
  </si>
  <si>
    <t>4-6"</t>
    <phoneticPr fontId="38" type="noConversion"/>
  </si>
  <si>
    <t>Lisianthus</t>
    <phoneticPr fontId="38" type="noConversion"/>
  </si>
  <si>
    <t>4-8"</t>
    <phoneticPr fontId="38" type="noConversion"/>
  </si>
  <si>
    <t>Ornamental kale</t>
    <phoneticPr fontId="38" type="noConversion"/>
  </si>
  <si>
    <t>Single-Stem Sunflower</t>
    <phoneticPr fontId="38" type="noConversion"/>
  </si>
  <si>
    <t>6" for small flowers; &gt;9" for large flowers</t>
    <phoneticPr fontId="38" type="noConversion"/>
  </si>
  <si>
    <t>Snapdragon</t>
    <phoneticPr fontId="38" type="noConversion"/>
  </si>
  <si>
    <t>Stock</t>
    <phoneticPr fontId="38" type="noConversion"/>
  </si>
  <si>
    <t>6"</t>
    <phoneticPr fontId="38" type="noConversion"/>
  </si>
  <si>
    <t>Sweet Pea</t>
    <phoneticPr fontId="38" type="noConversion"/>
  </si>
  <si>
    <t>8-10"</t>
    <phoneticPr fontId="38" type="noConversion"/>
  </si>
  <si>
    <t>Zinnia</t>
    <phoneticPr fontId="38" type="noConversion"/>
  </si>
  <si>
    <t>Insurance</t>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</si>
</sst>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26" formatCode="\$#,##0.00_);[Red]\(\$#,##0.00\)"/>
    <numFmt numFmtId="176" formatCode="&quot;$&quot;#,##0.00_);[Red]\(&quot;$&quot;#,##0.00\)"/>
    <numFmt numFmtId="177" formatCode="_(&quot;$&quot;* #,##0.00_);_(&quot;$&quot;* \(#,##0.00\);_(&quot;$&quot;* &quot;-&quot;??_);_(@_)"/>
    <numFmt numFmtId="178" formatCode="&quot;$&quot;#,##0.00"/>
    <numFmt numFmtId="179" formatCode="0.0%"/>
    <numFmt numFmtId="180" formatCode="\$#,##0.00"/>
    <numFmt numFmtId="181" formatCode="0.00_);[Red]\(0.00\)"/>
    <numFmt numFmtId="182" formatCode="0_);[Red]\(0\)"/>
  </numFmts>
  <fonts count="78" x14ac:knownFonts="1">
    <font>
      <sz val="11"/>
      <color theme="1"/>
      <name val="DengXian"/>
      <family val="2"/>
      <scheme val="minor"/>
    </font>
    <font>
      <sz val="12"/>
      <color theme="1"/>
      <name val="DengXian"/>
      <family val="2"/>
      <scheme val="minor"/>
    </font>
    <font>
      <sz val="11"/>
      <color theme="1"/>
      <name val="DengXian"/>
      <family val="2"/>
      <scheme val="minor"/>
    </font>
    <font>
      <sz val="14"/>
      <color theme="1"/>
      <name val="DengXian"/>
      <family val="2"/>
      <scheme val="minor"/>
    </font>
    <font>
      <b/>
      <sz val="16"/>
      <color theme="1"/>
      <name val="DengXian"/>
      <family val="2"/>
      <scheme val="minor"/>
    </font>
    <font>
      <b/>
      <sz val="14"/>
      <color theme="1"/>
      <name val="DengXian"/>
      <family val="2"/>
      <scheme val="minor"/>
    </font>
    <font>
      <sz val="16"/>
      <color theme="1"/>
      <name val="DengXian"/>
      <family val="2"/>
      <scheme val="minor"/>
    </font>
    <font>
      <sz val="20"/>
      <color theme="1"/>
      <name val="DengXian"/>
      <family val="2"/>
      <scheme val="minor"/>
    </font>
    <font>
      <u/>
      <sz val="11"/>
      <color theme="10"/>
      <name val="Calibri"/>
      <family val="2"/>
    </font>
    <font>
      <u/>
      <sz val="16"/>
      <color theme="10"/>
      <name val="Calibri"/>
      <family val="2"/>
    </font>
    <font>
      <sz val="20"/>
      <name val="DengXian"/>
      <family val="2"/>
      <scheme val="minor"/>
    </font>
    <font>
      <sz val="18"/>
      <color rgb="FFFF0000"/>
      <name val="DengXian"/>
      <family val="2"/>
      <scheme val="minor"/>
    </font>
    <font>
      <u/>
      <sz val="18"/>
      <color theme="1"/>
      <name val="DengXian"/>
      <family val="2"/>
      <scheme val="minor"/>
    </font>
    <font>
      <sz val="18"/>
      <color rgb="FFC00000"/>
      <name val="DengXian"/>
      <family val="2"/>
      <scheme val="minor"/>
    </font>
    <font>
      <sz val="12"/>
      <color theme="1"/>
      <name val="DengXian"/>
      <family val="2"/>
      <scheme val="minor"/>
    </font>
    <font>
      <b/>
      <sz val="12"/>
      <color theme="1"/>
      <name val="DengXian"/>
      <family val="2"/>
      <scheme val="minor"/>
    </font>
    <font>
      <b/>
      <sz val="20"/>
      <color theme="1"/>
      <name val="DengXian"/>
      <family val="2"/>
      <scheme val="minor"/>
    </font>
    <font>
      <sz val="16"/>
      <color rgb="FFFF00FF"/>
      <name val="DengXian"/>
      <family val="2"/>
      <scheme val="minor"/>
    </font>
    <font>
      <sz val="10"/>
      <color theme="1"/>
      <name val="DengXian"/>
      <family val="2"/>
      <scheme val="minor"/>
    </font>
    <font>
      <b/>
      <sz val="22"/>
      <color theme="1"/>
      <name val="DengXian"/>
      <family val="2"/>
      <scheme val="minor"/>
    </font>
    <font>
      <b/>
      <sz val="12"/>
      <color indexed="8"/>
      <name val="DengXian"/>
      <family val="2"/>
      <scheme val="minor"/>
    </font>
    <font>
      <u/>
      <sz val="14"/>
      <color theme="10"/>
      <name val="Calibri"/>
      <family val="2"/>
    </font>
    <font>
      <sz val="18"/>
      <color theme="1"/>
      <name val="DengXian"/>
      <family val="2"/>
      <scheme val="minor"/>
    </font>
    <font>
      <sz val="18"/>
      <name val="DengXian"/>
      <family val="2"/>
      <scheme val="minor"/>
    </font>
    <font>
      <sz val="22"/>
      <color theme="1"/>
      <name val="DengXian"/>
      <family val="2"/>
      <scheme val="minor"/>
    </font>
    <font>
      <u/>
      <sz val="11"/>
      <color theme="11"/>
      <name val="DengXian"/>
      <family val="2"/>
      <scheme val="minor"/>
    </font>
    <font>
      <sz val="18"/>
      <color theme="0"/>
      <name val="DengXian"/>
      <family val="2"/>
      <scheme val="minor"/>
    </font>
    <font>
      <i/>
      <sz val="14"/>
      <color theme="7"/>
      <name val="DengXian"/>
      <family val="2"/>
      <scheme val="minor"/>
    </font>
    <font>
      <sz val="10"/>
      <color rgb="FF000000"/>
      <name val="DengXian"/>
      <family val="2"/>
      <scheme val="minor"/>
    </font>
    <font>
      <i/>
      <sz val="10"/>
      <color theme="7"/>
      <name val="DengXian"/>
      <family val="2"/>
      <scheme val="minor"/>
    </font>
    <font>
      <i/>
      <sz val="14"/>
      <name val="DengXian"/>
      <family val="2"/>
      <scheme val="minor"/>
    </font>
    <font>
      <sz val="14"/>
      <color theme="7"/>
      <name val="DengXian"/>
      <family val="2"/>
      <scheme val="minor"/>
    </font>
    <font>
      <i/>
      <sz val="11"/>
      <color theme="7" tint="-0.249977111117893"/>
      <name val="DengXian"/>
      <family val="2"/>
      <scheme val="minor"/>
    </font>
    <font>
      <sz val="11"/>
      <color theme="7" tint="0.39997558519241921"/>
      <name val="DengXian"/>
      <family val="2"/>
      <scheme val="minor"/>
    </font>
    <font>
      <sz val="10"/>
      <color theme="7" tint="-0.249977111117893"/>
      <name val="DengXian"/>
      <family val="2"/>
      <scheme val="minor"/>
    </font>
    <font>
      <sz val="16"/>
      <color theme="7" tint="-0.249977111117893"/>
      <name val="DengXian"/>
      <family val="2"/>
      <scheme val="minor"/>
    </font>
    <font>
      <i/>
      <sz val="14"/>
      <color theme="1"/>
      <name val="DengXian"/>
      <family val="2"/>
      <scheme val="minor"/>
    </font>
    <font>
      <i/>
      <sz val="14"/>
      <color theme="7" tint="-0.249977111117893"/>
      <name val="DengXian"/>
      <family val="2"/>
      <scheme val="minor"/>
    </font>
    <font>
      <sz val="9"/>
      <name val="DengXian"/>
      <family val="3"/>
      <charset val="134"/>
      <scheme val="minor"/>
    </font>
    <font>
      <sz val="14"/>
      <color theme="1"/>
      <name val="DengXian"/>
      <family val="4"/>
      <charset val="134"/>
      <scheme val="minor"/>
    </font>
    <font>
      <sz val="14"/>
      <name val="DengXian"/>
      <family val="4"/>
      <charset val="134"/>
      <scheme val="minor"/>
    </font>
    <font>
      <sz val="14"/>
      <color rgb="FF000000"/>
      <name val="DengXian"/>
      <family val="4"/>
      <charset val="134"/>
      <scheme val="minor"/>
    </font>
    <font>
      <b/>
      <sz val="14"/>
      <color theme="1"/>
      <name val="DengXian"/>
      <family val="4"/>
      <charset val="134"/>
      <scheme val="minor"/>
    </font>
    <font>
      <b/>
      <sz val="14"/>
      <color rgb="FF000000"/>
      <name val="DengXian"/>
      <family val="4"/>
      <charset val="134"/>
      <scheme val="minor"/>
    </font>
    <font>
      <b/>
      <sz val="14"/>
      <name val="DengXian"/>
      <family val="4"/>
      <charset val="134"/>
      <scheme val="minor"/>
    </font>
    <font>
      <b/>
      <sz val="14"/>
      <color indexed="8"/>
      <name val="DengXian"/>
      <family val="4"/>
      <charset val="134"/>
      <scheme val="minor"/>
    </font>
    <font>
      <sz val="14"/>
      <color indexed="8"/>
      <name val="DengXian"/>
      <family val="4"/>
      <charset val="134"/>
      <scheme val="minor"/>
    </font>
    <font>
      <b/>
      <sz val="14"/>
      <color rgb="FFC00000"/>
      <name val="DengXian"/>
      <family val="4"/>
      <charset val="134"/>
      <scheme val="minor"/>
    </font>
    <font>
      <sz val="18"/>
      <color theme="1"/>
      <name val="DengXian"/>
      <family val="4"/>
      <charset val="134"/>
      <scheme val="minor"/>
    </font>
    <font>
      <sz val="20"/>
      <color theme="1"/>
      <name val="DengXian"/>
      <family val="4"/>
      <charset val="134"/>
      <scheme val="minor"/>
    </font>
    <font>
      <sz val="18"/>
      <name val="DengXian"/>
      <family val="4"/>
      <charset val="134"/>
      <scheme val="minor"/>
    </font>
    <font>
      <sz val="11"/>
      <color theme="1"/>
      <name val="DengXian"/>
      <family val="4"/>
      <charset val="134"/>
      <scheme val="minor"/>
    </font>
    <font>
      <b/>
      <sz val="11"/>
      <color theme="1"/>
      <name val="DengXian"/>
      <family val="4"/>
      <charset val="134"/>
      <scheme val="minor"/>
    </font>
    <font>
      <sz val="11"/>
      <color rgb="FF000000"/>
      <name val="DengXian"/>
      <family val="4"/>
      <charset val="134"/>
      <scheme val="minor"/>
    </font>
    <font>
      <sz val="11"/>
      <name val="DengXian"/>
      <family val="4"/>
      <charset val="134"/>
    </font>
    <font>
      <sz val="20"/>
      <name val="DengXian"/>
      <family val="4"/>
      <charset val="134"/>
      <scheme val="minor"/>
    </font>
    <font>
      <sz val="20"/>
      <color rgb="FFC00000"/>
      <name val="DengXian"/>
      <family val="2"/>
      <scheme val="minor"/>
    </font>
    <font>
      <sz val="20"/>
      <color rgb="FFC00000"/>
      <name val="DengXian"/>
      <family val="4"/>
      <charset val="134"/>
      <scheme val="minor"/>
    </font>
    <font>
      <sz val="14"/>
      <name val="DengXian"/>
      <family val="4"/>
      <charset val="134"/>
    </font>
    <font>
      <i/>
      <sz val="14"/>
      <color rgb="FF8064A2"/>
      <name val="DengXian"/>
      <family val="4"/>
      <charset val="134"/>
      <scheme val="minor"/>
    </font>
    <font>
      <sz val="16"/>
      <name val="DengXian"/>
      <family val="4"/>
      <charset val="134"/>
      <scheme val="minor"/>
    </font>
    <font>
      <sz val="18"/>
      <color theme="0"/>
      <name val="DengXian"/>
      <family val="4"/>
      <charset val="134"/>
      <scheme val="minor"/>
    </font>
    <font>
      <b/>
      <sz val="20"/>
      <color theme="1"/>
      <name val="DengXian"/>
      <family val="4"/>
      <charset val="134"/>
      <scheme val="minor"/>
    </font>
    <font>
      <b/>
      <sz val="14"/>
      <color theme="0"/>
      <name val="DengXian"/>
      <family val="4"/>
      <charset val="134"/>
      <scheme val="minor"/>
    </font>
    <font>
      <sz val="16"/>
      <color theme="0"/>
      <name val="DengXian"/>
      <family val="4"/>
      <charset val="134"/>
      <scheme val="minor"/>
    </font>
    <font>
      <vertAlign val="superscript"/>
      <sz val="14"/>
      <color theme="1"/>
      <name val="DengXian"/>
      <family val="3"/>
      <charset val="134"/>
    </font>
    <font>
      <vertAlign val="superscript"/>
      <sz val="14"/>
      <color theme="1"/>
      <name val="DengXian"/>
      <family val="3"/>
    </font>
    <font>
      <vertAlign val="superscript"/>
      <sz val="11"/>
      <color theme="1"/>
      <name val="DengXian"/>
      <family val="2"/>
      <scheme val="minor"/>
    </font>
    <font>
      <vertAlign val="superscript"/>
      <sz val="11"/>
      <color theme="1"/>
      <name val="DengXian"/>
      <family val="3"/>
    </font>
    <font>
      <sz val="11"/>
      <color theme="1"/>
      <name val="DengXian"/>
      <family val="3"/>
      <scheme val="minor"/>
    </font>
    <font>
      <vertAlign val="superscript"/>
      <sz val="11"/>
      <color rgb="FF000000"/>
      <name val="DengXian"/>
      <family val="3"/>
    </font>
    <font>
      <sz val="11"/>
      <color rgb="FF000000"/>
      <name val="DengXian"/>
      <family val="3"/>
      <scheme val="minor"/>
    </font>
    <font>
      <vertAlign val="superscript"/>
      <sz val="14"/>
      <name val="DengXian"/>
      <family val="3"/>
      <charset val="134"/>
    </font>
    <font>
      <sz val="11"/>
      <color theme="1"/>
      <name val="DengXian (正文)"/>
      <family val="3"/>
      <charset val="134"/>
    </font>
    <font>
      <vertAlign val="superscript"/>
      <sz val="11"/>
      <color theme="1"/>
      <name val="DengXian (正文)"/>
      <family val="3"/>
      <charset val="134"/>
    </font>
    <font>
      <sz val="11"/>
      <color theme="1"/>
      <name val="DengXian"/>
      <family val="3"/>
    </font>
    <font>
      <vertAlign val="superscript"/>
      <sz val="11"/>
      <color theme="1"/>
      <name val="DengXian"/>
      <family val="4"/>
      <charset val="134"/>
    </font>
    <font>
      <sz val="11"/>
      <color theme="1"/>
      <name val="DengXian"/>
      <family val="4"/>
      <charset val="134"/>
    </font>
  </fonts>
  <fills count="2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theme="9" tint="-0.499984740745262"/>
        <bgColor indexed="64"/>
      </patternFill>
    </fill>
    <fill>
      <patternFill patternType="solid">
        <fgColor theme="0"/>
        <bgColor indexed="64"/>
      </patternFill>
    </fill>
    <fill>
      <patternFill patternType="solid">
        <fgColor rgb="FFFFFF99"/>
        <bgColor indexed="64"/>
      </patternFill>
    </fill>
    <fill>
      <patternFill patternType="solid">
        <fgColor rgb="FF99CC00"/>
        <bgColor indexed="64"/>
      </patternFill>
    </fill>
    <fill>
      <patternFill patternType="solid">
        <fgColor theme="3" tint="0.39997558519241921"/>
        <bgColor indexed="64"/>
      </patternFill>
    </fill>
    <fill>
      <patternFill patternType="solid">
        <fgColor rgb="FFC981BA"/>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FF"/>
        <bgColor rgb="FF000000"/>
      </patternFill>
    </fill>
    <fill>
      <patternFill patternType="solid">
        <fgColor theme="0" tint="-0.249977111117893"/>
        <bgColor indexed="64"/>
      </patternFill>
    </fill>
    <fill>
      <patternFill patternType="solid">
        <fgColor theme="6"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top style="medium">
        <color auto="1"/>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thin">
        <color auto="1"/>
      </bottom>
      <diagonal/>
    </border>
    <border>
      <left style="thin">
        <color auto="1"/>
      </left>
      <right/>
      <top style="thin">
        <color auto="1"/>
      </top>
      <bottom/>
      <diagonal/>
    </border>
  </borders>
  <cellStyleXfs count="17">
    <xf numFmtId="0" fontId="0" fillId="0" borderId="0"/>
    <xf numFmtId="177"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773">
    <xf numFmtId="0" fontId="0" fillId="0" borderId="0" xfId="0"/>
    <xf numFmtId="0" fontId="3" fillId="0" borderId="5" xfId="0" applyFont="1" applyBorder="1" applyAlignment="1">
      <alignment horizontal="right"/>
    </xf>
    <xf numFmtId="2" fontId="3" fillId="0" borderId="0" xfId="0" applyNumberFormat="1" applyFont="1"/>
    <xf numFmtId="0" fontId="6" fillId="0" borderId="0" xfId="0" applyFont="1"/>
    <xf numFmtId="0" fontId="3" fillId="0" borderId="2" xfId="0" applyFont="1" applyBorder="1" applyAlignment="1">
      <alignment horizontal="right"/>
    </xf>
    <xf numFmtId="0" fontId="11" fillId="0" borderId="0" xfId="0" applyFont="1"/>
    <xf numFmtId="0" fontId="11" fillId="0" borderId="0" xfId="0" applyFont="1" applyAlignment="1">
      <alignment horizontal="left"/>
    </xf>
    <xf numFmtId="0" fontId="12" fillId="0" borderId="0" xfId="0" applyFont="1"/>
    <xf numFmtId="0" fontId="9" fillId="0" borderId="0" xfId="4" applyFont="1" applyBorder="1" applyAlignment="1" applyProtection="1"/>
    <xf numFmtId="0" fontId="0" fillId="0" borderId="0" xfId="0" applyAlignment="1">
      <alignment horizontal="center" vertical="center"/>
    </xf>
    <xf numFmtId="0" fontId="7" fillId="0" borderId="0" xfId="0" applyFont="1" applyAlignment="1">
      <alignment horizontal="left"/>
    </xf>
    <xf numFmtId="0" fontId="3" fillId="0" borderId="0" xfId="0" applyFont="1"/>
    <xf numFmtId="178" fontId="5" fillId="0" borderId="0" xfId="0" applyNumberFormat="1" applyFont="1"/>
    <xf numFmtId="178" fontId="0" fillId="0" borderId="0" xfId="0" applyNumberFormat="1"/>
    <xf numFmtId="0" fontId="3" fillId="0" borderId="20" xfId="0" applyFont="1" applyBorder="1"/>
    <xf numFmtId="0" fontId="3" fillId="0" borderId="20" xfId="0" applyFont="1" applyBorder="1" applyAlignment="1">
      <alignment horizontal="left"/>
    </xf>
    <xf numFmtId="178" fontId="4" fillId="8" borderId="0" xfId="0" applyNumberFormat="1" applyFont="1" applyFill="1"/>
    <xf numFmtId="0" fontId="0" fillId="8" borderId="0" xfId="0" applyFill="1"/>
    <xf numFmtId="0" fontId="5" fillId="8" borderId="0" xfId="0" applyFont="1" applyFill="1"/>
    <xf numFmtId="0" fontId="3" fillId="0" borderId="10" xfId="0" applyFont="1" applyBorder="1" applyAlignment="1">
      <alignment horizontal="left" vertical="center"/>
    </xf>
    <xf numFmtId="0" fontId="17" fillId="8" borderId="0" xfId="0" applyFont="1" applyFill="1"/>
    <xf numFmtId="0" fontId="3" fillId="8" borderId="0" xfId="0" applyFont="1" applyFill="1"/>
    <xf numFmtId="0" fontId="0" fillId="0" borderId="0" xfId="0" applyAlignment="1">
      <alignment horizontal="left"/>
    </xf>
    <xf numFmtId="0" fontId="19" fillId="0" borderId="0" xfId="0" applyFont="1"/>
    <xf numFmtId="9" fontId="3" fillId="8" borderId="0" xfId="2" applyFont="1" applyFill="1" applyBorder="1"/>
    <xf numFmtId="178" fontId="5" fillId="8" borderId="0" xfId="0" applyNumberFormat="1" applyFont="1" applyFill="1" applyAlignment="1">
      <alignment horizontal="right"/>
    </xf>
    <xf numFmtId="9" fontId="3" fillId="8" borderId="0" xfId="2" applyFont="1" applyFill="1" applyBorder="1" applyProtection="1">
      <protection locked="0"/>
    </xf>
    <xf numFmtId="0" fontId="5" fillId="8" borderId="0" xfId="0" applyFont="1" applyFill="1" applyAlignment="1">
      <alignment horizontal="right"/>
    </xf>
    <xf numFmtId="0" fontId="5" fillId="8" borderId="0" xfId="0" applyFont="1" applyFill="1" applyAlignment="1">
      <alignment horizontal="center"/>
    </xf>
    <xf numFmtId="178" fontId="0" fillId="8" borderId="0" xfId="0" applyNumberFormat="1" applyFill="1"/>
    <xf numFmtId="178" fontId="3" fillId="8" borderId="0" xfId="0" applyNumberFormat="1" applyFont="1" applyFill="1"/>
    <xf numFmtId="0" fontId="0" fillId="0" borderId="0" xfId="0" applyAlignment="1">
      <alignment horizontal="left" vertical="top" wrapText="1"/>
    </xf>
    <xf numFmtId="178" fontId="4" fillId="0" borderId="0" xfId="0" applyNumberFormat="1" applyFont="1" applyAlignment="1">
      <alignment horizontal="right"/>
    </xf>
    <xf numFmtId="0" fontId="3" fillId="8" borderId="20" xfId="0" applyFont="1" applyFill="1" applyBorder="1"/>
    <xf numFmtId="0" fontId="10" fillId="6" borderId="24" xfId="0" applyFont="1" applyFill="1" applyBorder="1" applyAlignment="1">
      <alignment horizontal="left"/>
    </xf>
    <xf numFmtId="0" fontId="7" fillId="6" borderId="24" xfId="0" applyFont="1" applyFill="1" applyBorder="1"/>
    <xf numFmtId="0" fontId="3" fillId="0" borderId="0" xfId="0" applyFont="1" applyAlignment="1">
      <alignment vertical="top" wrapText="1"/>
    </xf>
    <xf numFmtId="0" fontId="5" fillId="0" borderId="0" xfId="0" applyFont="1"/>
    <xf numFmtId="0" fontId="15" fillId="8" borderId="0" xfId="0" applyFont="1" applyFill="1" applyAlignment="1">
      <alignment horizontal="center"/>
    </xf>
    <xf numFmtId="0" fontId="5" fillId="0" borderId="0" xfId="0" applyFont="1" applyAlignment="1">
      <alignment horizontal="right"/>
    </xf>
    <xf numFmtId="178" fontId="3" fillId="0" borderId="0" xfId="0" applyNumberFormat="1" applyFont="1"/>
    <xf numFmtId="0" fontId="19" fillId="8" borderId="0" xfId="0" applyFont="1" applyFill="1" applyAlignment="1">
      <alignment horizontal="center"/>
    </xf>
    <xf numFmtId="178" fontId="5" fillId="8" borderId="0" xfId="0" applyNumberFormat="1" applyFont="1" applyFill="1" applyAlignment="1">
      <alignment horizontal="center"/>
    </xf>
    <xf numFmtId="0" fontId="20" fillId="8" borderId="0" xfId="0" applyFont="1" applyFill="1" applyAlignment="1">
      <alignment horizontal="right"/>
    </xf>
    <xf numFmtId="178" fontId="5" fillId="8" borderId="0" xfId="1" applyNumberFormat="1" applyFont="1" applyFill="1" applyBorder="1" applyAlignment="1">
      <alignment horizontal="right"/>
    </xf>
    <xf numFmtId="0" fontId="1" fillId="0" borderId="0" xfId="0" applyFont="1"/>
    <xf numFmtId="178" fontId="3" fillId="0" borderId="2" xfId="0" applyNumberFormat="1" applyFont="1" applyBorder="1" applyAlignment="1">
      <alignment horizontal="right"/>
    </xf>
    <xf numFmtId="178" fontId="3" fillId="0" borderId="5" xfId="0" applyNumberFormat="1" applyFont="1" applyBorder="1" applyAlignment="1">
      <alignment horizontal="right"/>
    </xf>
    <xf numFmtId="9" fontId="5" fillId="0" borderId="0" xfId="0" applyNumberFormat="1" applyFont="1"/>
    <xf numFmtId="9" fontId="3" fillId="0" borderId="0" xfId="0" applyNumberFormat="1" applyFont="1"/>
    <xf numFmtId="178" fontId="3" fillId="0" borderId="7" xfId="0" applyNumberFormat="1" applyFont="1" applyBorder="1" applyAlignment="1">
      <alignment horizontal="right"/>
    </xf>
    <xf numFmtId="0" fontId="3" fillId="8" borderId="0" xfId="0" applyFont="1" applyFill="1" applyAlignment="1">
      <alignment horizontal="right"/>
    </xf>
    <xf numFmtId="178" fontId="5" fillId="8" borderId="0" xfId="0" applyNumberFormat="1" applyFont="1" applyFill="1"/>
    <xf numFmtId="0" fontId="24" fillId="0" borderId="0" xfId="0" applyFont="1"/>
    <xf numFmtId="0" fontId="6" fillId="8" borderId="0" xfId="0" applyFont="1" applyFill="1" applyAlignment="1">
      <alignment horizontal="left"/>
    </xf>
    <xf numFmtId="0" fontId="13" fillId="0" borderId="0" xfId="0" applyFont="1"/>
    <xf numFmtId="9" fontId="5" fillId="0" borderId="0" xfId="0" applyNumberFormat="1" applyFont="1" applyAlignment="1">
      <alignment horizontal="right"/>
    </xf>
    <xf numFmtId="178" fontId="5" fillId="0" borderId="0" xfId="0" applyNumberFormat="1" applyFont="1" applyAlignment="1">
      <alignment horizontal="right"/>
    </xf>
    <xf numFmtId="0" fontId="3" fillId="8" borderId="0" xfId="0" applyFont="1" applyFill="1" applyAlignment="1">
      <alignment horizontal="left" indent="1"/>
    </xf>
    <xf numFmtId="0" fontId="18" fillId="0" borderId="0" xfId="0" applyFont="1"/>
    <xf numFmtId="0" fontId="0" fillId="0" borderId="0" xfId="0" applyAlignment="1">
      <alignment vertical="center" wrapText="1"/>
    </xf>
    <xf numFmtId="0" fontId="7" fillId="8" borderId="0" xfId="0" applyFont="1" applyFill="1" applyAlignment="1">
      <alignment horizontal="left"/>
    </xf>
    <xf numFmtId="0" fontId="26" fillId="8" borderId="0" xfId="0" applyFont="1" applyFill="1" applyAlignment="1">
      <alignment horizontal="center"/>
    </xf>
    <xf numFmtId="9" fontId="3" fillId="8" borderId="0" xfId="2" applyFont="1" applyFill="1" applyBorder="1" applyAlignment="1">
      <alignment horizontal="right"/>
    </xf>
    <xf numFmtId="9" fontId="5" fillId="8" borderId="8" xfId="2" applyFont="1" applyFill="1" applyBorder="1"/>
    <xf numFmtId="178" fontId="5" fillId="8" borderId="3" xfId="0" applyNumberFormat="1" applyFont="1" applyFill="1" applyBorder="1"/>
    <xf numFmtId="178" fontId="3" fillId="8" borderId="8" xfId="2" applyNumberFormat="1" applyFont="1" applyFill="1" applyBorder="1"/>
    <xf numFmtId="178" fontId="3" fillId="8" borderId="3" xfId="0" applyNumberFormat="1" applyFont="1" applyFill="1" applyBorder="1"/>
    <xf numFmtId="0" fontId="14" fillId="0" borderId="0" xfId="0" applyFont="1" applyAlignment="1">
      <alignment vertical="top" wrapText="1"/>
    </xf>
    <xf numFmtId="2" fontId="15" fillId="8" borderId="0" xfId="0" applyNumberFormat="1" applyFont="1" applyFill="1" applyAlignment="1">
      <alignment horizontal="right"/>
    </xf>
    <xf numFmtId="0" fontId="14" fillId="8" borderId="0" xfId="0" applyFont="1" applyFill="1" applyAlignment="1">
      <alignment horizontal="left"/>
    </xf>
    <xf numFmtId="0" fontId="23" fillId="0" borderId="0" xfId="0" applyFont="1"/>
    <xf numFmtId="0" fontId="18" fillId="0" borderId="0" xfId="0" applyFont="1" applyAlignment="1">
      <alignment horizontal="left" wrapText="1"/>
    </xf>
    <xf numFmtId="0" fontId="13" fillId="0" borderId="8" xfId="0" applyFont="1" applyBorder="1"/>
    <xf numFmtId="0" fontId="1" fillId="0" borderId="0" xfId="0" applyFont="1" applyAlignment="1">
      <alignment vertical="top" wrapText="1"/>
    </xf>
    <xf numFmtId="49" fontId="7" fillId="2" borderId="0" xfId="0" applyNumberFormat="1" applyFont="1" applyFill="1" applyAlignment="1">
      <alignment horizontal="right"/>
    </xf>
    <xf numFmtId="0" fontId="1" fillId="8" borderId="0" xfId="0" applyFont="1" applyFill="1" applyAlignment="1">
      <alignment vertical="top" wrapText="1"/>
    </xf>
    <xf numFmtId="176" fontId="3" fillId="0" borderId="0" xfId="0" applyNumberFormat="1" applyFont="1"/>
    <xf numFmtId="0" fontId="39" fillId="0" borderId="0" xfId="0" applyFont="1"/>
    <xf numFmtId="0" fontId="39" fillId="0" borderId="0" xfId="0" applyFont="1" applyAlignment="1">
      <alignment horizontal="center"/>
    </xf>
    <xf numFmtId="0" fontId="41" fillId="0" borderId="0" xfId="0" applyFont="1" applyAlignment="1">
      <alignment horizontal="left" wrapText="1"/>
    </xf>
    <xf numFmtId="0" fontId="42" fillId="8" borderId="0" xfId="0" applyFont="1" applyFill="1" applyAlignment="1">
      <alignment horizontal="center"/>
    </xf>
    <xf numFmtId="0" fontId="43" fillId="0" borderId="0" xfId="0" applyFont="1"/>
    <xf numFmtId="0" fontId="44" fillId="8" borderId="0" xfId="0" applyFont="1" applyFill="1" applyAlignment="1">
      <alignment horizontal="center"/>
    </xf>
    <xf numFmtId="0" fontId="44" fillId="8" borderId="0" xfId="0" applyFont="1" applyFill="1"/>
    <xf numFmtId="0" fontId="39" fillId="8" borderId="0" xfId="0" applyFont="1" applyFill="1"/>
    <xf numFmtId="0" fontId="42" fillId="0" borderId="0" xfId="0" applyFont="1"/>
    <xf numFmtId="9" fontId="42" fillId="0" borderId="0" xfId="0" applyNumberFormat="1" applyFont="1" applyAlignment="1">
      <alignment wrapText="1"/>
    </xf>
    <xf numFmtId="0" fontId="45" fillId="0" borderId="0" xfId="0" applyFont="1"/>
    <xf numFmtId="0" fontId="45" fillId="0" borderId="0" xfId="0" applyFont="1" applyAlignment="1">
      <alignment horizontal="right"/>
    </xf>
    <xf numFmtId="0" fontId="42" fillId="0" borderId="0" xfId="0" applyFont="1" applyAlignment="1">
      <alignment horizontal="right"/>
    </xf>
    <xf numFmtId="0" fontId="42" fillId="0" borderId="0" xfId="0" applyFont="1" applyAlignment="1">
      <alignment wrapText="1"/>
    </xf>
    <xf numFmtId="0" fontId="39" fillId="4" borderId="10" xfId="0" applyFont="1" applyFill="1" applyBorder="1" applyAlignment="1" applyProtection="1">
      <alignment horizontal="left"/>
      <protection locked="0"/>
    </xf>
    <xf numFmtId="0" fontId="39" fillId="4" borderId="1" xfId="0" applyFont="1" applyFill="1" applyBorder="1" applyAlignment="1" applyProtection="1">
      <alignment horizontal="left"/>
      <protection locked="0"/>
    </xf>
    <xf numFmtId="2" fontId="39" fillId="0" borderId="0" xfId="0" applyNumberFormat="1" applyFont="1" applyProtection="1">
      <protection locked="0"/>
    </xf>
    <xf numFmtId="0" fontId="39" fillId="0" borderId="0" xfId="0" applyFont="1" applyProtection="1">
      <protection locked="0"/>
    </xf>
    <xf numFmtId="178" fontId="39" fillId="0" borderId="0" xfId="0" applyNumberFormat="1" applyFont="1" applyProtection="1">
      <protection locked="0"/>
    </xf>
    <xf numFmtId="178" fontId="39" fillId="0" borderId="0" xfId="0" applyNumberFormat="1" applyFont="1"/>
    <xf numFmtId="2" fontId="39" fillId="0" borderId="0" xfId="0" applyNumberFormat="1" applyFont="1" applyAlignment="1">
      <alignment horizontal="right"/>
    </xf>
    <xf numFmtId="0" fontId="39" fillId="0" borderId="0" xfId="0" applyFont="1" applyAlignment="1">
      <alignment horizontal="left"/>
    </xf>
    <xf numFmtId="2" fontId="39" fillId="0" borderId="0" xfId="0" applyNumberFormat="1" applyFont="1" applyAlignment="1" applyProtection="1">
      <alignment horizontal="left"/>
      <protection locked="0"/>
    </xf>
    <xf numFmtId="0" fontId="39" fillId="0" borderId="0" xfId="0" applyFont="1" applyAlignment="1" applyProtection="1">
      <alignment horizontal="left"/>
      <protection locked="0"/>
    </xf>
    <xf numFmtId="178" fontId="39" fillId="0" borderId="0" xfId="0" applyNumberFormat="1" applyFont="1" applyAlignment="1" applyProtection="1">
      <alignment horizontal="left"/>
      <protection locked="0"/>
    </xf>
    <xf numFmtId="178" fontId="39" fillId="0" borderId="0" xfId="0" applyNumberFormat="1" applyFont="1" applyAlignment="1">
      <alignment horizontal="left"/>
    </xf>
    <xf numFmtId="2" fontId="39" fillId="0" borderId="0" xfId="0" applyNumberFormat="1" applyFont="1" applyAlignment="1">
      <alignment horizontal="left"/>
    </xf>
    <xf numFmtId="0" fontId="39" fillId="8" borderId="10" xfId="0" applyFont="1" applyFill="1" applyBorder="1"/>
    <xf numFmtId="0" fontId="39" fillId="4" borderId="1" xfId="0" applyFont="1" applyFill="1" applyBorder="1" applyProtection="1">
      <protection locked="0"/>
    </xf>
    <xf numFmtId="3" fontId="39" fillId="4" borderId="1" xfId="0" applyNumberFormat="1" applyFont="1" applyFill="1" applyBorder="1" applyProtection="1">
      <protection locked="0"/>
    </xf>
    <xf numFmtId="0" fontId="39" fillId="4" borderId="10" xfId="0" applyFont="1" applyFill="1" applyBorder="1" applyProtection="1">
      <protection locked="0"/>
    </xf>
    <xf numFmtId="0" fontId="39" fillId="0" borderId="10" xfId="0" applyFont="1" applyBorder="1"/>
    <xf numFmtId="0" fontId="39" fillId="0" borderId="1" xfId="0" applyFont="1" applyBorder="1"/>
    <xf numFmtId="0" fontId="42" fillId="0" borderId="0" xfId="0" applyFont="1" applyAlignment="1">
      <alignment horizontal="center"/>
    </xf>
    <xf numFmtId="0" fontId="39" fillId="0" borderId="10" xfId="0" applyFont="1" applyBorder="1" applyProtection="1">
      <protection locked="0"/>
    </xf>
    <xf numFmtId="178" fontId="42" fillId="0" borderId="0" xfId="0" applyNumberFormat="1" applyFont="1"/>
    <xf numFmtId="0" fontId="39" fillId="8" borderId="1" xfId="0" applyFont="1" applyFill="1" applyBorder="1"/>
    <xf numFmtId="0" fontId="39" fillId="0" borderId="17" xfId="0" applyFont="1" applyBorder="1"/>
    <xf numFmtId="2" fontId="39" fillId="8" borderId="14" xfId="0" applyNumberFormat="1" applyFont="1" applyFill="1" applyBorder="1"/>
    <xf numFmtId="2" fontId="39" fillId="8" borderId="1" xfId="0" applyNumberFormat="1" applyFont="1" applyFill="1" applyBorder="1"/>
    <xf numFmtId="2" fontId="42" fillId="8" borderId="23" xfId="0" applyNumberFormat="1" applyFont="1" applyFill="1" applyBorder="1"/>
    <xf numFmtId="0" fontId="39" fillId="8" borderId="14" xfId="0" applyFont="1" applyFill="1" applyBorder="1" applyAlignment="1">
      <alignment horizontal="left"/>
    </xf>
    <xf numFmtId="0" fontId="39" fillId="8" borderId="1" xfId="0" applyFont="1" applyFill="1" applyBorder="1" applyAlignment="1">
      <alignment horizontal="left"/>
    </xf>
    <xf numFmtId="0" fontId="42" fillId="8" borderId="23" xfId="0" applyFont="1" applyFill="1" applyBorder="1" applyAlignment="1">
      <alignment horizontal="left"/>
    </xf>
    <xf numFmtId="178" fontId="42" fillId="0" borderId="0" xfId="0" applyNumberFormat="1" applyFont="1" applyAlignment="1">
      <alignment horizontal="right"/>
    </xf>
    <xf numFmtId="178" fontId="39" fillId="0" borderId="0" xfId="1" applyNumberFormat="1" applyFont="1" applyBorder="1" applyAlignment="1">
      <alignment horizontal="right"/>
    </xf>
    <xf numFmtId="0" fontId="45" fillId="8" borderId="0" xfId="0" applyFont="1" applyFill="1" applyAlignment="1">
      <alignment horizontal="right"/>
    </xf>
    <xf numFmtId="0" fontId="39" fillId="0" borderId="15" xfId="0" applyFont="1" applyBorder="1" applyAlignment="1">
      <alignment horizontal="left"/>
    </xf>
    <xf numFmtId="2" fontId="39" fillId="0" borderId="6" xfId="3" applyNumberFormat="1" applyFont="1" applyBorder="1"/>
    <xf numFmtId="0" fontId="39" fillId="0" borderId="10" xfId="0" applyFont="1" applyBorder="1" applyAlignment="1">
      <alignment horizontal="left"/>
    </xf>
    <xf numFmtId="0" fontId="39" fillId="0" borderId="22" xfId="0" applyFont="1" applyBorder="1" applyAlignment="1">
      <alignment horizontal="left"/>
    </xf>
    <xf numFmtId="0" fontId="46" fillId="0" borderId="15" xfId="0" applyFont="1" applyBorder="1" applyAlignment="1">
      <alignment horizontal="left"/>
    </xf>
    <xf numFmtId="2" fontId="39" fillId="0" borderId="6" xfId="3" applyNumberFormat="1" applyFont="1" applyBorder="1" applyAlignment="1">
      <alignment horizontal="right"/>
    </xf>
    <xf numFmtId="0" fontId="46" fillId="0" borderId="10" xfId="0" applyFont="1" applyBorder="1" applyAlignment="1">
      <alignment horizontal="left"/>
    </xf>
    <xf numFmtId="0" fontId="46" fillId="4" borderId="10" xfId="0" applyFont="1" applyFill="1" applyBorder="1" applyAlignment="1" applyProtection="1">
      <alignment horizontal="left"/>
      <protection locked="0"/>
    </xf>
    <xf numFmtId="177" fontId="45" fillId="0" borderId="22" xfId="0" applyNumberFormat="1" applyFont="1" applyBorder="1" applyAlignment="1">
      <alignment horizontal="right"/>
    </xf>
    <xf numFmtId="2" fontId="39" fillId="0" borderId="6" xfId="3" applyNumberFormat="1" applyFont="1" applyFill="1" applyBorder="1" applyAlignment="1">
      <alignment horizontal="right"/>
    </xf>
    <xf numFmtId="0" fontId="46" fillId="0" borderId="22" xfId="0" applyFont="1" applyBorder="1" applyAlignment="1">
      <alignment horizontal="left"/>
    </xf>
    <xf numFmtId="178" fontId="39" fillId="0" borderId="6" xfId="1" applyNumberFormat="1" applyFont="1" applyBorder="1" applyAlignment="1">
      <alignment horizontal="right"/>
    </xf>
    <xf numFmtId="177" fontId="45" fillId="8" borderId="22" xfId="0" applyNumberFormat="1" applyFont="1" applyFill="1" applyBorder="1" applyAlignment="1">
      <alignment horizontal="right" vertical="center"/>
    </xf>
    <xf numFmtId="0" fontId="39" fillId="8" borderId="17" xfId="0" applyFont="1" applyFill="1" applyBorder="1" applyAlignment="1">
      <alignment horizontal="left"/>
    </xf>
    <xf numFmtId="178" fontId="39" fillId="0" borderId="9" xfId="1" applyNumberFormat="1" applyFont="1" applyBorder="1" applyAlignment="1">
      <alignment horizontal="right"/>
    </xf>
    <xf numFmtId="0" fontId="39" fillId="8" borderId="0" xfId="0" applyFont="1" applyFill="1" applyAlignment="1">
      <alignment horizontal="left"/>
    </xf>
    <xf numFmtId="0" fontId="48" fillId="0" borderId="0" xfId="0" applyFont="1"/>
    <xf numFmtId="0" fontId="39" fillId="0" borderId="0" xfId="0" applyFont="1" applyAlignment="1">
      <alignment horizontal="left" vertical="top" wrapText="1"/>
    </xf>
    <xf numFmtId="9" fontId="39" fillId="0" borderId="20" xfId="0" applyNumberFormat="1" applyFont="1" applyBorder="1"/>
    <xf numFmtId="43" fontId="42" fillId="0" borderId="0" xfId="3" applyFont="1" applyFill="1" applyBorder="1"/>
    <xf numFmtId="178" fontId="42" fillId="0" borderId="0" xfId="3" applyNumberFormat="1" applyFont="1" applyFill="1" applyBorder="1"/>
    <xf numFmtId="0" fontId="42" fillId="8" borderId="0" xfId="0" applyFont="1" applyFill="1" applyAlignment="1">
      <alignment horizontal="right"/>
    </xf>
    <xf numFmtId="43" fontId="42" fillId="8" borderId="0" xfId="3" applyFont="1" applyFill="1" applyBorder="1"/>
    <xf numFmtId="0" fontId="42" fillId="8" borderId="0" xfId="0" applyFont="1" applyFill="1"/>
    <xf numFmtId="178" fontId="42" fillId="8" borderId="0" xfId="3" applyNumberFormat="1" applyFont="1" applyFill="1" applyBorder="1"/>
    <xf numFmtId="8" fontId="0" fillId="0" borderId="0" xfId="0" applyNumberFormat="1"/>
    <xf numFmtId="0" fontId="39" fillId="0" borderId="20" xfId="0" applyFont="1" applyBorder="1"/>
    <xf numFmtId="0" fontId="42" fillId="0" borderId="10" xfId="0" applyFont="1" applyBorder="1" applyAlignment="1">
      <alignment horizontal="right"/>
    </xf>
    <xf numFmtId="0" fontId="3" fillId="0" borderId="25" xfId="0" applyFont="1" applyBorder="1" applyAlignment="1">
      <alignment horizontal="left" vertical="center"/>
    </xf>
    <xf numFmtId="0" fontId="3" fillId="0" borderId="15" xfId="0" applyFont="1" applyBorder="1" applyAlignment="1">
      <alignment horizontal="left"/>
    </xf>
    <xf numFmtId="0" fontId="3" fillId="0" borderId="29" xfId="0" applyFont="1" applyBorder="1"/>
    <xf numFmtId="3" fontId="3" fillId="8" borderId="26" xfId="0" applyNumberFormat="1" applyFont="1" applyFill="1" applyBorder="1"/>
    <xf numFmtId="0" fontId="51" fillId="0" borderId="0" xfId="0" applyFont="1"/>
    <xf numFmtId="0" fontId="42" fillId="0" borderId="25" xfId="0" applyFont="1" applyBorder="1" applyAlignment="1">
      <alignment horizontal="right"/>
    </xf>
    <xf numFmtId="0" fontId="42" fillId="0" borderId="17" xfId="0" applyFont="1" applyBorder="1"/>
    <xf numFmtId="0" fontId="40" fillId="4" borderId="15" xfId="0" applyFont="1" applyFill="1" applyBorder="1" applyAlignment="1">
      <alignment horizontal="left"/>
    </xf>
    <xf numFmtId="0" fontId="52" fillId="0" borderId="0" xfId="0" applyFont="1"/>
    <xf numFmtId="178" fontId="42" fillId="0" borderId="0" xfId="3" applyNumberFormat="1" applyFont="1" applyFill="1" applyBorder="1" applyAlignment="1">
      <alignment horizontal="right"/>
    </xf>
    <xf numFmtId="2" fontId="42" fillId="0" borderId="0" xfId="3" applyNumberFormat="1" applyFont="1" applyFill="1" applyBorder="1" applyAlignment="1">
      <alignment horizontal="right"/>
    </xf>
    <xf numFmtId="0" fontId="39" fillId="4" borderId="17" xfId="0" applyFont="1" applyFill="1" applyBorder="1" applyProtection="1">
      <protection locked="0"/>
    </xf>
    <xf numFmtId="0" fontId="39" fillId="0" borderId="26" xfId="0" applyFont="1" applyBorder="1"/>
    <xf numFmtId="0" fontId="39" fillId="0" borderId="10" xfId="0" applyFont="1" applyBorder="1" applyAlignment="1">
      <alignment vertical="center"/>
    </xf>
    <xf numFmtId="0" fontId="39" fillId="0" borderId="25" xfId="0" applyFont="1" applyBorder="1" applyAlignment="1">
      <alignment vertical="center"/>
    </xf>
    <xf numFmtId="0" fontId="51" fillId="0" borderId="0" xfId="0" applyFont="1" applyAlignment="1">
      <alignment vertical="center"/>
    </xf>
    <xf numFmtId="0" fontId="39" fillId="0" borderId="10" xfId="0" applyFont="1" applyBorder="1" applyAlignment="1">
      <alignment horizontal="left" wrapText="1"/>
    </xf>
    <xf numFmtId="0" fontId="39" fillId="0" borderId="25" xfId="0" applyFont="1" applyBorder="1" applyAlignment="1">
      <alignment horizontal="left" wrapText="1"/>
    </xf>
    <xf numFmtId="0" fontId="39" fillId="0" borderId="0" xfId="0" applyFont="1" applyAlignment="1">
      <alignment horizontal="center" vertical="top" wrapText="1"/>
    </xf>
    <xf numFmtId="0" fontId="42" fillId="8" borderId="0" xfId="0" applyFont="1" applyFill="1" applyAlignment="1">
      <alignment vertical="center"/>
    </xf>
    <xf numFmtId="0" fontId="18" fillId="0" borderId="0" xfId="0" applyFont="1" applyAlignment="1">
      <alignment horizontal="left" vertical="center"/>
    </xf>
    <xf numFmtId="0" fontId="22" fillId="0" borderId="0" xfId="0" applyFont="1"/>
    <xf numFmtId="0" fontId="10" fillId="0" borderId="0" xfId="0" applyFont="1"/>
    <xf numFmtId="0" fontId="42" fillId="0" borderId="25" xfId="0" applyFont="1" applyBorder="1" applyAlignment="1">
      <alignment horizontal="left"/>
    </xf>
    <xf numFmtId="0" fontId="40" fillId="8" borderId="0" xfId="0" applyFont="1" applyFill="1" applyAlignment="1">
      <alignment horizontal="left" vertical="center"/>
    </xf>
    <xf numFmtId="0" fontId="39" fillId="8" borderId="10" xfId="0" applyFont="1" applyFill="1" applyBorder="1" applyAlignment="1">
      <alignment horizontal="left"/>
    </xf>
    <xf numFmtId="179" fontId="39" fillId="0" borderId="20" xfId="0" applyNumberFormat="1" applyFont="1" applyBorder="1"/>
    <xf numFmtId="0" fontId="39" fillId="8" borderId="0" xfId="0" applyFont="1" applyFill="1" applyAlignment="1">
      <alignment vertical="center"/>
    </xf>
    <xf numFmtId="0" fontId="39" fillId="8" borderId="0" xfId="0" applyFont="1" applyFill="1" applyAlignment="1">
      <alignment horizontal="center"/>
    </xf>
    <xf numFmtId="0" fontId="39" fillId="0" borderId="0" xfId="0" applyFont="1" applyAlignment="1">
      <alignment horizontal="left" vertical="center"/>
    </xf>
    <xf numFmtId="0" fontId="55" fillId="6" borderId="11" xfId="0" applyFont="1" applyFill="1" applyBorder="1" applyAlignment="1">
      <alignment vertical="center"/>
    </xf>
    <xf numFmtId="0" fontId="55" fillId="6" borderId="13" xfId="0" applyFont="1" applyFill="1" applyBorder="1" applyAlignment="1">
      <alignment vertical="center"/>
    </xf>
    <xf numFmtId="0" fontId="55" fillId="0" borderId="0" xfId="0" applyFont="1" applyAlignment="1">
      <alignment vertical="center"/>
    </xf>
    <xf numFmtId="0" fontId="49" fillId="0" borderId="0" xfId="0" applyFont="1" applyAlignment="1">
      <alignment vertical="center"/>
    </xf>
    <xf numFmtId="0" fontId="40" fillId="8" borderId="10" xfId="0" applyFont="1" applyFill="1" applyBorder="1" applyAlignment="1">
      <alignment horizontal="left" vertical="center"/>
    </xf>
    <xf numFmtId="26" fontId="40" fillId="8" borderId="20" xfId="0" applyNumberFormat="1" applyFont="1" applyFill="1" applyBorder="1" applyAlignment="1">
      <alignment horizontal="right" vertical="center"/>
    </xf>
    <xf numFmtId="179" fontId="39" fillId="0" borderId="35" xfId="0" applyNumberFormat="1" applyFont="1" applyBorder="1"/>
    <xf numFmtId="26" fontId="39" fillId="8" borderId="20" xfId="0" applyNumberFormat="1" applyFont="1" applyFill="1" applyBorder="1" applyAlignment="1">
      <alignment vertical="center"/>
    </xf>
    <xf numFmtId="179" fontId="40" fillId="8" borderId="1" xfId="0" applyNumberFormat="1" applyFont="1" applyFill="1" applyBorder="1" applyAlignment="1">
      <alignment horizontal="center"/>
    </xf>
    <xf numFmtId="179" fontId="39" fillId="8" borderId="1" xfId="0" applyNumberFormat="1" applyFont="1" applyFill="1" applyBorder="1" applyAlignment="1">
      <alignment horizontal="center"/>
    </xf>
    <xf numFmtId="0" fontId="39" fillId="0" borderId="0" xfId="0" applyFont="1" applyAlignment="1">
      <alignment vertical="top" wrapText="1"/>
    </xf>
    <xf numFmtId="178" fontId="39" fillId="8" borderId="0" xfId="2" applyNumberFormat="1" applyFont="1" applyFill="1" applyBorder="1" applyProtection="1">
      <protection locked="0"/>
    </xf>
    <xf numFmtId="2" fontId="39" fillId="8" borderId="0" xfId="0" applyNumberFormat="1" applyFont="1" applyFill="1"/>
    <xf numFmtId="9" fontId="39" fillId="8" borderId="0" xfId="0" applyNumberFormat="1" applyFont="1" applyFill="1"/>
    <xf numFmtId="9" fontId="3" fillId="4" borderId="1" xfId="2" applyFont="1" applyFill="1" applyBorder="1"/>
    <xf numFmtId="180" fontId="3" fillId="4" borderId="1" xfId="0" applyNumberFormat="1" applyFont="1" applyFill="1" applyBorder="1"/>
    <xf numFmtId="179" fontId="39" fillId="0" borderId="26" xfId="0" applyNumberFormat="1" applyFont="1" applyBorder="1"/>
    <xf numFmtId="0" fontId="3" fillId="4" borderId="10" xfId="0" applyFont="1" applyFill="1" applyBorder="1"/>
    <xf numFmtId="0" fontId="3" fillId="0" borderId="15" xfId="0" applyFont="1" applyBorder="1"/>
    <xf numFmtId="0" fontId="39" fillId="0" borderId="14" xfId="0" applyFont="1" applyBorder="1" applyAlignment="1">
      <alignment horizontal="center" vertical="top" wrapText="1"/>
    </xf>
    <xf numFmtId="0" fontId="39" fillId="0" borderId="14" xfId="0" applyFont="1" applyBorder="1" applyAlignment="1">
      <alignment horizontal="center" vertical="center" wrapText="1"/>
    </xf>
    <xf numFmtId="180" fontId="3" fillId="0" borderId="20" xfId="0" applyNumberFormat="1" applyFont="1" applyBorder="1"/>
    <xf numFmtId="180" fontId="42" fillId="0" borderId="17" xfId="0" applyNumberFormat="1" applyFont="1" applyBorder="1"/>
    <xf numFmtId="180" fontId="42" fillId="0" borderId="26" xfId="0" applyNumberFormat="1" applyFont="1" applyBorder="1"/>
    <xf numFmtId="0" fontId="40" fillId="0" borderId="10" xfId="0" applyFont="1" applyBorder="1"/>
    <xf numFmtId="0" fontId="40" fillId="0" borderId="15" xfId="0" applyFont="1" applyBorder="1"/>
    <xf numFmtId="0" fontId="40" fillId="4" borderId="10" xfId="0" applyFont="1" applyFill="1" applyBorder="1" applyAlignment="1" applyProtection="1">
      <alignment horizontal="left"/>
      <protection locked="0"/>
    </xf>
    <xf numFmtId="0" fontId="3" fillId="0" borderId="10" xfId="0" applyFont="1" applyBorder="1"/>
    <xf numFmtId="0" fontId="3" fillId="4" borderId="10" xfId="0" applyFont="1" applyFill="1" applyBorder="1" applyProtection="1">
      <protection locked="0"/>
    </xf>
    <xf numFmtId="0" fontId="3" fillId="8" borderId="10" xfId="0" applyFont="1" applyFill="1" applyBorder="1"/>
    <xf numFmtId="0" fontId="49" fillId="0" borderId="0" xfId="0" applyFont="1"/>
    <xf numFmtId="0" fontId="7" fillId="0" borderId="0" xfId="0" applyFont="1"/>
    <xf numFmtId="0" fontId="42" fillId="0" borderId="0" xfId="0" applyFont="1" applyAlignment="1">
      <alignment vertical="center"/>
    </xf>
    <xf numFmtId="0" fontId="39" fillId="0" borderId="29" xfId="0" applyFont="1" applyBorder="1" applyAlignment="1">
      <alignment horizontal="center" vertical="center" wrapText="1"/>
    </xf>
    <xf numFmtId="0" fontId="39" fillId="8" borderId="17" xfId="0" applyFont="1" applyFill="1" applyBorder="1"/>
    <xf numFmtId="0" fontId="56" fillId="0" borderId="8" xfId="0" applyFont="1" applyBorder="1"/>
    <xf numFmtId="0" fontId="55" fillId="0" borderId="0" xfId="0" applyFont="1"/>
    <xf numFmtId="0" fontId="42" fillId="16" borderId="18" xfId="0" applyFont="1" applyFill="1" applyBorder="1" applyAlignment="1">
      <alignment wrapText="1"/>
    </xf>
    <xf numFmtId="0" fontId="42" fillId="16" borderId="16" xfId="0" applyFont="1" applyFill="1" applyBorder="1" applyAlignment="1">
      <alignment horizontal="center" wrapText="1"/>
    </xf>
    <xf numFmtId="0" fontId="42" fillId="16" borderId="16" xfId="0" applyFont="1" applyFill="1" applyBorder="1" applyAlignment="1">
      <alignment horizontal="right" wrapText="1"/>
    </xf>
    <xf numFmtId="0" fontId="42" fillId="16" borderId="19" xfId="0" applyFont="1" applyFill="1" applyBorder="1" applyAlignment="1">
      <alignment horizontal="right" wrapText="1"/>
    </xf>
    <xf numFmtId="0" fontId="42" fillId="16" borderId="10" xfId="0" applyFont="1" applyFill="1" applyBorder="1"/>
    <xf numFmtId="0" fontId="42" fillId="16" borderId="1" xfId="0" applyFont="1" applyFill="1" applyBorder="1" applyAlignment="1">
      <alignment horizontal="center" wrapText="1"/>
    </xf>
    <xf numFmtId="0" fontId="42" fillId="16" borderId="1" xfId="0" applyFont="1" applyFill="1" applyBorder="1" applyAlignment="1">
      <alignment horizontal="right"/>
    </xf>
    <xf numFmtId="178" fontId="42" fillId="16" borderId="1" xfId="0" applyNumberFormat="1" applyFont="1" applyFill="1" applyBorder="1" applyAlignment="1">
      <alignment horizontal="right"/>
    </xf>
    <xf numFmtId="0" fontId="42" fillId="16" borderId="20" xfId="0" applyFont="1" applyFill="1" applyBorder="1" applyAlignment="1">
      <alignment horizontal="right" wrapText="1"/>
    </xf>
    <xf numFmtId="178" fontId="5" fillId="0" borderId="0" xfId="3" applyNumberFormat="1" applyFont="1" applyFill="1" applyBorder="1" applyAlignment="1" applyProtection="1">
      <alignment horizontal="right"/>
    </xf>
    <xf numFmtId="0" fontId="56" fillId="0" borderId="0" xfId="0" applyFont="1" applyAlignment="1">
      <alignment horizontal="left" shrinkToFit="1"/>
    </xf>
    <xf numFmtId="0" fontId="42" fillId="16" borderId="18" xfId="0" applyFont="1" applyFill="1" applyBorder="1" applyAlignment="1">
      <alignment horizontal="left"/>
    </xf>
    <xf numFmtId="43" fontId="42" fillId="16" borderId="16" xfId="3" applyFont="1" applyFill="1" applyBorder="1" applyAlignment="1">
      <alignment horizontal="right"/>
    </xf>
    <xf numFmtId="43" fontId="42" fillId="16" borderId="19" xfId="3" applyFont="1" applyFill="1" applyBorder="1" applyAlignment="1">
      <alignment horizontal="right"/>
    </xf>
    <xf numFmtId="0" fontId="39" fillId="8" borderId="15" xfId="0" applyFont="1" applyFill="1" applyBorder="1" applyAlignment="1">
      <alignment horizontal="left"/>
    </xf>
    <xf numFmtId="0" fontId="42" fillId="0" borderId="0" xfId="0" applyFont="1" applyAlignment="1">
      <alignment horizontal="left"/>
    </xf>
    <xf numFmtId="3" fontId="42" fillId="0" borderId="0" xfId="0" applyNumberFormat="1" applyFont="1" applyAlignment="1">
      <alignment horizontal="left"/>
    </xf>
    <xf numFmtId="0" fontId="44" fillId="0" borderId="25" xfId="0" applyFont="1" applyBorder="1" applyAlignment="1">
      <alignment horizontal="right"/>
    </xf>
    <xf numFmtId="43" fontId="43" fillId="16" borderId="16" xfId="0" applyNumberFormat="1" applyFont="1" applyFill="1" applyBorder="1" applyAlignment="1">
      <alignment horizontal="right"/>
    </xf>
    <xf numFmtId="43" fontId="43" fillId="16" borderId="19" xfId="0" applyNumberFormat="1" applyFont="1" applyFill="1" applyBorder="1" applyAlignment="1">
      <alignment horizontal="right"/>
    </xf>
    <xf numFmtId="43" fontId="42" fillId="16" borderId="16" xfId="3" applyFont="1" applyFill="1" applyBorder="1" applyAlignment="1">
      <alignment horizontal="center"/>
    </xf>
    <xf numFmtId="2" fontId="42" fillId="0" borderId="17" xfId="3" applyNumberFormat="1" applyFont="1" applyFill="1" applyBorder="1" applyAlignment="1">
      <alignment horizontal="right"/>
    </xf>
    <xf numFmtId="0" fontId="42" fillId="16" borderId="15" xfId="0" applyFont="1" applyFill="1" applyBorder="1" applyAlignment="1">
      <alignment horizontal="left"/>
    </xf>
    <xf numFmtId="43" fontId="42" fillId="0" borderId="17" xfId="3" applyFont="1" applyFill="1" applyBorder="1" applyAlignment="1">
      <alignment horizontal="right"/>
    </xf>
    <xf numFmtId="43" fontId="43" fillId="16" borderId="14" xfId="0" applyNumberFormat="1" applyFont="1" applyFill="1" applyBorder="1" applyAlignment="1">
      <alignment horizontal="right"/>
    </xf>
    <xf numFmtId="43" fontId="43" fillId="16" borderId="14" xfId="0" applyNumberFormat="1" applyFont="1" applyFill="1" applyBorder="1" applyAlignment="1">
      <alignment horizontal="center"/>
    </xf>
    <xf numFmtId="43" fontId="43" fillId="16" borderId="29" xfId="0" applyNumberFormat="1" applyFont="1" applyFill="1" applyBorder="1" applyAlignment="1">
      <alignment horizontal="right"/>
    </xf>
    <xf numFmtId="43" fontId="43" fillId="16" borderId="16" xfId="0" applyNumberFormat="1" applyFont="1" applyFill="1" applyBorder="1" applyAlignment="1">
      <alignment horizontal="center"/>
    </xf>
    <xf numFmtId="2" fontId="44" fillId="0" borderId="17" xfId="3" applyNumberFormat="1" applyFont="1" applyFill="1" applyBorder="1" applyAlignment="1">
      <alignment horizontal="right"/>
    </xf>
    <xf numFmtId="0" fontId="44" fillId="16" borderId="18" xfId="0" applyFont="1" applyFill="1" applyBorder="1" applyAlignment="1">
      <alignment horizontal="left"/>
    </xf>
    <xf numFmtId="2" fontId="42" fillId="0" borderId="17" xfId="3" applyNumberFormat="1" applyFont="1" applyFill="1" applyBorder="1" applyAlignment="1">
      <alignment horizontal="center"/>
    </xf>
    <xf numFmtId="0" fontId="5" fillId="0" borderId="25" xfId="0" applyFont="1" applyBorder="1" applyAlignment="1">
      <alignment horizontal="right"/>
    </xf>
    <xf numFmtId="0" fontId="42" fillId="16" borderId="1" xfId="0" applyFont="1" applyFill="1" applyBorder="1" applyAlignment="1">
      <alignment horizontal="center"/>
    </xf>
    <xf numFmtId="0" fontId="42" fillId="16" borderId="18" xfId="0" applyFont="1" applyFill="1" applyBorder="1"/>
    <xf numFmtId="0" fontId="42" fillId="16" borderId="19" xfId="0" applyFont="1" applyFill="1" applyBorder="1" applyAlignment="1">
      <alignment horizontal="center"/>
    </xf>
    <xf numFmtId="0" fontId="42" fillId="16" borderId="15" xfId="0" applyFont="1" applyFill="1" applyBorder="1"/>
    <xf numFmtId="0" fontId="42" fillId="16" borderId="29" xfId="0" applyFont="1" applyFill="1" applyBorder="1" applyAlignment="1">
      <alignment horizontal="center"/>
    </xf>
    <xf numFmtId="0" fontId="5" fillId="0" borderId="22" xfId="0" applyFont="1" applyBorder="1" applyAlignment="1">
      <alignment horizontal="right"/>
    </xf>
    <xf numFmtId="0" fontId="5" fillId="16" borderId="15" xfId="0" applyFont="1" applyFill="1" applyBorder="1" applyAlignment="1">
      <alignment horizontal="left"/>
    </xf>
    <xf numFmtId="0" fontId="5" fillId="16" borderId="18" xfId="0" applyFont="1" applyFill="1" applyBorder="1" applyAlignment="1">
      <alignment horizontal="left"/>
    </xf>
    <xf numFmtId="9" fontId="42" fillId="0" borderId="26" xfId="0" applyNumberFormat="1" applyFont="1" applyBorder="1"/>
    <xf numFmtId="0" fontId="42" fillId="16" borderId="16" xfId="0" applyFont="1" applyFill="1" applyBorder="1" applyAlignment="1">
      <alignment horizontal="right"/>
    </xf>
    <xf numFmtId="178" fontId="42" fillId="16" borderId="16" xfId="0" applyNumberFormat="1" applyFont="1" applyFill="1" applyBorder="1" applyAlignment="1">
      <alignment horizontal="right"/>
    </xf>
    <xf numFmtId="0" fontId="3" fillId="0" borderId="18" xfId="0" applyFont="1" applyBorder="1" applyAlignment="1">
      <alignment horizontal="left" vertical="center"/>
    </xf>
    <xf numFmtId="0" fontId="3" fillId="0" borderId="19" xfId="0" applyFont="1" applyBorder="1" applyAlignment="1">
      <alignment horizontal="left"/>
    </xf>
    <xf numFmtId="0" fontId="0" fillId="0" borderId="0" xfId="0" applyAlignment="1">
      <alignment vertical="top" wrapText="1"/>
    </xf>
    <xf numFmtId="2" fontId="42" fillId="16" borderId="1" xfId="0" applyNumberFormat="1" applyFont="1" applyFill="1" applyBorder="1" applyAlignment="1">
      <alignment horizontal="center"/>
    </xf>
    <xf numFmtId="0" fontId="42" fillId="16" borderId="23" xfId="0" applyFont="1" applyFill="1" applyBorder="1" applyAlignment="1">
      <alignment horizontal="center"/>
    </xf>
    <xf numFmtId="2" fontId="42" fillId="16" borderId="23" xfId="0" applyNumberFormat="1" applyFont="1" applyFill="1" applyBorder="1" applyAlignment="1">
      <alignment horizontal="center"/>
    </xf>
    <xf numFmtId="0" fontId="46" fillId="8" borderId="0" xfId="0" applyFont="1" applyFill="1" applyAlignment="1">
      <alignment horizontal="right"/>
    </xf>
    <xf numFmtId="0" fontId="46" fillId="8" borderId="15" xfId="0" applyFont="1" applyFill="1" applyBorder="1" applyAlignment="1">
      <alignment horizontal="left"/>
    </xf>
    <xf numFmtId="0" fontId="46" fillId="8" borderId="25" xfId="0" applyFont="1" applyFill="1" applyBorder="1" applyAlignment="1">
      <alignment horizontal="left"/>
    </xf>
    <xf numFmtId="0" fontId="45" fillId="0" borderId="50" xfId="0" applyFont="1" applyBorder="1" applyAlignment="1">
      <alignment horizontal="right"/>
    </xf>
    <xf numFmtId="2" fontId="42" fillId="8" borderId="51" xfId="0" applyNumberFormat="1" applyFont="1" applyFill="1" applyBorder="1"/>
    <xf numFmtId="177" fontId="45" fillId="8" borderId="25" xfId="0" applyNumberFormat="1" applyFont="1" applyFill="1" applyBorder="1" applyAlignment="1">
      <alignment horizontal="right" vertical="center"/>
    </xf>
    <xf numFmtId="0" fontId="42" fillId="8" borderId="17" xfId="0" applyFont="1" applyFill="1" applyBorder="1" applyAlignment="1">
      <alignment horizontal="left"/>
    </xf>
    <xf numFmtId="0" fontId="45" fillId="16" borderId="47" xfId="0" applyFont="1" applyFill="1" applyBorder="1"/>
    <xf numFmtId="0" fontId="45" fillId="16" borderId="46" xfId="0" applyFont="1" applyFill="1" applyBorder="1" applyAlignment="1">
      <alignment horizontal="center"/>
    </xf>
    <xf numFmtId="0" fontId="45" fillId="16" borderId="46" xfId="0" applyFont="1" applyFill="1" applyBorder="1" applyAlignment="1">
      <alignment horizontal="center" vertical="center"/>
    </xf>
    <xf numFmtId="0" fontId="45" fillId="16" borderId="48" xfId="0" applyFont="1" applyFill="1" applyBorder="1"/>
    <xf numFmtId="2" fontId="42" fillId="8" borderId="5" xfId="0" applyNumberFormat="1" applyFont="1" applyFill="1" applyBorder="1" applyAlignment="1">
      <alignment horizontal="right"/>
    </xf>
    <xf numFmtId="0" fontId="39" fillId="8" borderId="0" xfId="0" applyFont="1" applyFill="1" applyAlignment="1">
      <alignment horizontal="right"/>
    </xf>
    <xf numFmtId="0" fontId="39" fillId="0" borderId="0" xfId="0" applyFont="1" applyAlignment="1">
      <alignment horizontal="right"/>
    </xf>
    <xf numFmtId="2" fontId="42" fillId="8" borderId="7" xfId="0" applyNumberFormat="1" applyFont="1" applyFill="1" applyBorder="1" applyAlignment="1">
      <alignment horizontal="right"/>
    </xf>
    <xf numFmtId="0" fontId="39" fillId="0" borderId="8" xfId="0" applyFont="1" applyBorder="1" applyAlignment="1">
      <alignment horizontal="right"/>
    </xf>
    <xf numFmtId="26" fontId="40" fillId="0" borderId="20" xfId="0" applyNumberFormat="1" applyFont="1" applyBorder="1" applyAlignment="1">
      <alignment wrapText="1"/>
    </xf>
    <xf numFmtId="0" fontId="44" fillId="0" borderId="25" xfId="0" applyFont="1" applyBorder="1" applyAlignment="1">
      <alignment horizontal="left"/>
    </xf>
    <xf numFmtId="0" fontId="39" fillId="0" borderId="0" xfId="0" applyFont="1" applyAlignment="1">
      <alignment vertical="center"/>
    </xf>
    <xf numFmtId="0" fontId="49" fillId="6" borderId="24" xfId="0" applyFont="1" applyFill="1" applyBorder="1" applyAlignment="1">
      <alignment horizontal="left"/>
    </xf>
    <xf numFmtId="0" fontId="45" fillId="16" borderId="18" xfId="0" applyFont="1" applyFill="1" applyBorder="1"/>
    <xf numFmtId="0" fontId="45" fillId="16" borderId="16" xfId="0" applyFont="1" applyFill="1" applyBorder="1" applyAlignment="1">
      <alignment horizontal="left" vertical="center" wrapText="1"/>
    </xf>
    <xf numFmtId="0" fontId="45" fillId="16" borderId="16" xfId="0" applyFont="1" applyFill="1" applyBorder="1" applyAlignment="1">
      <alignment horizontal="left"/>
    </xf>
    <xf numFmtId="0" fontId="45" fillId="16" borderId="16" xfId="0" applyFont="1" applyFill="1" applyBorder="1" applyAlignment="1">
      <alignment horizontal="right"/>
    </xf>
    <xf numFmtId="0" fontId="42" fillId="16" borderId="19" xfId="0" applyFont="1" applyFill="1" applyBorder="1" applyAlignment="1">
      <alignment horizontal="right"/>
    </xf>
    <xf numFmtId="0" fontId="45" fillId="16" borderId="1" xfId="0" applyFont="1" applyFill="1" applyBorder="1" applyAlignment="1">
      <alignment horizontal="right"/>
    </xf>
    <xf numFmtId="0" fontId="42" fillId="16" borderId="20" xfId="0" applyFont="1" applyFill="1" applyBorder="1" applyAlignment="1">
      <alignment horizontal="right"/>
    </xf>
    <xf numFmtId="0" fontId="45" fillId="16" borderId="1" xfId="0" applyFont="1" applyFill="1" applyBorder="1" applyAlignment="1">
      <alignment horizontal="left"/>
    </xf>
    <xf numFmtId="0" fontId="42" fillId="16" borderId="14" xfId="0" applyFont="1" applyFill="1" applyBorder="1"/>
    <xf numFmtId="0" fontId="45" fillId="16" borderId="14" xfId="0" applyFont="1" applyFill="1" applyBorder="1"/>
    <xf numFmtId="0" fontId="45" fillId="16" borderId="14" xfId="0" applyFont="1" applyFill="1" applyBorder="1" applyAlignment="1">
      <alignment horizontal="right"/>
    </xf>
    <xf numFmtId="0" fontId="42" fillId="16" borderId="14" xfId="0" applyFont="1" applyFill="1" applyBorder="1" applyAlignment="1">
      <alignment horizontal="right"/>
    </xf>
    <xf numFmtId="0" fontId="42" fillId="16" borderId="29" xfId="0" applyFont="1" applyFill="1" applyBorder="1" applyAlignment="1">
      <alignment horizontal="right"/>
    </xf>
    <xf numFmtId="0" fontId="42" fillId="0" borderId="52" xfId="0" applyFont="1" applyBorder="1" applyAlignment="1">
      <alignment horizontal="right"/>
    </xf>
    <xf numFmtId="0" fontId="42" fillId="0" borderId="43" xfId="0" applyFont="1" applyBorder="1"/>
    <xf numFmtId="0" fontId="45" fillId="16" borderId="15" xfId="0" applyFont="1" applyFill="1" applyBorder="1"/>
    <xf numFmtId="0" fontId="45" fillId="16" borderId="14" xfId="0" applyFont="1" applyFill="1" applyBorder="1" applyAlignment="1">
      <alignment horizontal="left"/>
    </xf>
    <xf numFmtId="0" fontId="45" fillId="16" borderId="18" xfId="0" applyFont="1" applyFill="1" applyBorder="1" applyAlignment="1">
      <alignment horizontal="left"/>
    </xf>
    <xf numFmtId="9" fontId="42" fillId="16" borderId="18" xfId="0" applyNumberFormat="1" applyFont="1" applyFill="1" applyBorder="1" applyAlignment="1">
      <alignment wrapText="1"/>
    </xf>
    <xf numFmtId="0" fontId="42" fillId="0" borderId="22" xfId="0" applyFont="1" applyBorder="1" applyAlignment="1">
      <alignment horizontal="right"/>
    </xf>
    <xf numFmtId="0" fontId="39" fillId="0" borderId="23" xfId="0" applyFont="1" applyBorder="1"/>
    <xf numFmtId="0" fontId="42" fillId="16" borderId="14" xfId="0" applyFont="1" applyFill="1" applyBorder="1" applyAlignment="1">
      <alignment horizontal="center" wrapText="1"/>
    </xf>
    <xf numFmtId="178" fontId="42" fillId="16" borderId="14" xfId="0" applyNumberFormat="1" applyFont="1" applyFill="1" applyBorder="1" applyAlignment="1">
      <alignment horizontal="right"/>
    </xf>
    <xf numFmtId="0" fontId="42" fillId="16" borderId="29" xfId="0" applyFont="1" applyFill="1" applyBorder="1" applyAlignment="1">
      <alignment horizontal="right" wrapText="1"/>
    </xf>
    <xf numFmtId="0" fontId="44" fillId="16" borderId="10" xfId="0" applyFont="1" applyFill="1" applyBorder="1" applyAlignment="1">
      <alignment horizontal="left" vertical="center"/>
    </xf>
    <xf numFmtId="26" fontId="44" fillId="16" borderId="20" xfId="0" applyNumberFormat="1" applyFont="1" applyFill="1" applyBorder="1" applyAlignment="1">
      <alignment horizontal="right" vertical="center"/>
    </xf>
    <xf numFmtId="0" fontId="44" fillId="16" borderId="25" xfId="0" applyFont="1" applyFill="1" applyBorder="1" applyAlignment="1">
      <alignment horizontal="left" vertical="center"/>
    </xf>
    <xf numFmtId="0" fontId="40" fillId="8" borderId="18" xfId="0" applyFont="1" applyFill="1" applyBorder="1" applyAlignment="1">
      <alignment horizontal="left" vertical="center"/>
    </xf>
    <xf numFmtId="26" fontId="40" fillId="8" borderId="19" xfId="0" applyNumberFormat="1" applyFont="1" applyFill="1" applyBorder="1" applyAlignment="1">
      <alignment horizontal="right" vertical="center"/>
    </xf>
    <xf numFmtId="0" fontId="21" fillId="0" borderId="0" xfId="4" applyFont="1" applyFill="1" applyBorder="1" applyAlignment="1" applyProtection="1"/>
    <xf numFmtId="0" fontId="22" fillId="0" borderId="0" xfId="0" applyFont="1" applyAlignment="1">
      <alignment horizontal="center"/>
    </xf>
    <xf numFmtId="26" fontId="40" fillId="4" borderId="20" xfId="0" applyNumberFormat="1" applyFont="1" applyFill="1" applyBorder="1" applyAlignment="1">
      <alignment horizontal="right" vertical="center"/>
    </xf>
    <xf numFmtId="0" fontId="49" fillId="0" borderId="0" xfId="0" applyFont="1" applyAlignment="1">
      <alignment horizontal="left"/>
    </xf>
    <xf numFmtId="0" fontId="7" fillId="6" borderId="24" xfId="0" applyFont="1" applyFill="1" applyBorder="1" applyAlignment="1">
      <alignment horizontal="left"/>
    </xf>
    <xf numFmtId="9" fontId="39" fillId="0" borderId="0" xfId="0" applyNumberFormat="1" applyFont="1"/>
    <xf numFmtId="0" fontId="39" fillId="8" borderId="14" xfId="0" applyFont="1" applyFill="1" applyBorder="1" applyAlignment="1">
      <alignment horizontal="center" wrapText="1"/>
    </xf>
    <xf numFmtId="0" fontId="39" fillId="8" borderId="29" xfId="0" applyFont="1" applyFill="1" applyBorder="1" applyAlignment="1">
      <alignment horizontal="center" wrapText="1"/>
    </xf>
    <xf numFmtId="179" fontId="42" fillId="0" borderId="36" xfId="0" applyNumberFormat="1" applyFont="1" applyBorder="1"/>
    <xf numFmtId="0" fontId="44" fillId="0" borderId="0" xfId="0" applyFont="1" applyAlignment="1">
      <alignment horizontal="left" vertical="center"/>
    </xf>
    <xf numFmtId="9" fontId="44" fillId="0" borderId="0" xfId="2" applyFont="1" applyFill="1" applyBorder="1" applyAlignment="1">
      <alignment horizontal="right" vertical="center"/>
    </xf>
    <xf numFmtId="0" fontId="49" fillId="6" borderId="24" xfId="0" applyFont="1" applyFill="1" applyBorder="1" applyAlignment="1">
      <alignment vertical="center"/>
    </xf>
    <xf numFmtId="26" fontId="39" fillId="8" borderId="26" xfId="0" applyNumberFormat="1" applyFont="1" applyFill="1" applyBorder="1" applyAlignment="1">
      <alignment vertical="center"/>
    </xf>
    <xf numFmtId="179" fontId="42" fillId="0" borderId="17" xfId="0" applyNumberFormat="1" applyFont="1" applyBorder="1" applyAlignment="1">
      <alignment horizontal="center"/>
    </xf>
    <xf numFmtId="0" fontId="39" fillId="0" borderId="15" xfId="0" applyFont="1" applyBorder="1" applyAlignment="1">
      <alignment horizontal="center"/>
    </xf>
    <xf numFmtId="0" fontId="39" fillId="0" borderId="14" xfId="0" applyFont="1" applyBorder="1" applyAlignment="1">
      <alignment horizontal="center"/>
    </xf>
    <xf numFmtId="0" fontId="39" fillId="0" borderId="29" xfId="0" applyFont="1" applyBorder="1" applyAlignment="1">
      <alignment horizontal="center"/>
    </xf>
    <xf numFmtId="0" fontId="39" fillId="0" borderId="14" xfId="0" applyFont="1" applyBorder="1" applyAlignment="1">
      <alignment horizontal="center" vertical="center"/>
    </xf>
    <xf numFmtId="0" fontId="39" fillId="0" borderId="37" xfId="0" applyFont="1" applyBorder="1" applyAlignment="1">
      <alignment horizontal="center" vertical="center" wrapText="1"/>
    </xf>
    <xf numFmtId="0" fontId="39" fillId="8" borderId="29" xfId="0" applyFont="1" applyFill="1" applyBorder="1" applyAlignment="1">
      <alignment horizontal="center" vertical="center" wrapText="1"/>
    </xf>
    <xf numFmtId="0" fontId="39" fillId="0" borderId="15" xfId="0" applyFont="1" applyBorder="1" applyAlignment="1">
      <alignment horizontal="center" vertical="center"/>
    </xf>
    <xf numFmtId="26" fontId="40" fillId="0" borderId="20" xfId="0" applyNumberFormat="1" applyFont="1" applyBorder="1" applyAlignment="1">
      <alignment horizontal="right" vertical="center"/>
    </xf>
    <xf numFmtId="179" fontId="40" fillId="4" borderId="20" xfId="2" applyNumberFormat="1" applyFont="1" applyFill="1" applyBorder="1" applyAlignment="1">
      <alignment horizontal="right" vertical="center"/>
    </xf>
    <xf numFmtId="0" fontId="40" fillId="8" borderId="10" xfId="0" applyFont="1" applyFill="1" applyBorder="1" applyAlignment="1">
      <alignment horizontal="left" vertical="center" wrapText="1"/>
    </xf>
    <xf numFmtId="178" fontId="3" fillId="8" borderId="0" xfId="2" applyNumberFormat="1" applyFont="1" applyFill="1" applyBorder="1"/>
    <xf numFmtId="0" fontId="39" fillId="0" borderId="5" xfId="0" applyFont="1" applyBorder="1" applyAlignment="1">
      <alignment horizontal="right"/>
    </xf>
    <xf numFmtId="9" fontId="39" fillId="0" borderId="7" xfId="0" applyNumberFormat="1" applyFont="1" applyBorder="1" applyAlignment="1">
      <alignment horizontal="right"/>
    </xf>
    <xf numFmtId="9" fontId="39" fillId="0" borderId="8" xfId="2" applyFont="1" applyBorder="1"/>
    <xf numFmtId="178" fontId="39" fillId="0" borderId="2" xfId="0" applyNumberFormat="1" applyFont="1" applyBorder="1" applyAlignment="1">
      <alignment horizontal="right"/>
    </xf>
    <xf numFmtId="178" fontId="39" fillId="0" borderId="5" xfId="0" applyNumberFormat="1" applyFont="1" applyBorder="1" applyAlignment="1">
      <alignment horizontal="right"/>
    </xf>
    <xf numFmtId="0" fontId="41" fillId="17" borderId="0" xfId="0" applyFont="1" applyFill="1" applyAlignment="1">
      <alignment horizontal="left" indent="1"/>
    </xf>
    <xf numFmtId="9" fontId="3" fillId="0" borderId="0" xfId="2" applyFont="1" applyFill="1"/>
    <xf numFmtId="9" fontId="3" fillId="0" borderId="0" xfId="2" applyFont="1"/>
    <xf numFmtId="0" fontId="16" fillId="8" borderId="0" xfId="0" applyFont="1" applyFill="1" applyAlignment="1" applyProtection="1">
      <alignment horizontal="left" shrinkToFit="1"/>
      <protection locked="0"/>
    </xf>
    <xf numFmtId="0" fontId="1" fillId="0" borderId="0" xfId="0" applyFont="1" applyAlignment="1">
      <alignment vertical="top"/>
    </xf>
    <xf numFmtId="26" fontId="42" fillId="0" borderId="0" xfId="0" applyNumberFormat="1" applyFont="1" applyAlignment="1">
      <alignment horizontal="right"/>
    </xf>
    <xf numFmtId="2" fontId="42" fillId="8" borderId="0" xfId="0" applyNumberFormat="1" applyFont="1" applyFill="1" applyAlignment="1">
      <alignment horizontal="right"/>
    </xf>
    <xf numFmtId="178" fontId="42" fillId="0" borderId="0" xfId="0" applyNumberFormat="1" applyFont="1" applyAlignment="1">
      <alignment horizontal="right" vertical="center"/>
    </xf>
    <xf numFmtId="9" fontId="5" fillId="8" borderId="0" xfId="2" applyFont="1" applyFill="1" applyBorder="1"/>
    <xf numFmtId="9" fontId="39" fillId="0" borderId="9" xfId="2" applyFont="1" applyBorder="1"/>
    <xf numFmtId="9" fontId="39" fillId="0" borderId="6" xfId="2" applyFont="1" applyBorder="1" applyAlignment="1">
      <alignment horizontal="left"/>
    </xf>
    <xf numFmtId="9" fontId="39" fillId="0" borderId="6" xfId="0" applyNumberFormat="1" applyFont="1" applyBorder="1"/>
    <xf numFmtId="0" fontId="60" fillId="0" borderId="0" xfId="0" applyFont="1"/>
    <xf numFmtId="0" fontId="40" fillId="0" borderId="2" xfId="0" applyFont="1" applyBorder="1" applyAlignment="1">
      <alignment horizontal="right"/>
    </xf>
    <xf numFmtId="178" fontId="40" fillId="0" borderId="0" xfId="0" applyNumberFormat="1" applyFont="1"/>
    <xf numFmtId="0" fontId="40" fillId="0" borderId="0" xfId="0" applyFont="1"/>
    <xf numFmtId="0" fontId="40" fillId="0" borderId="5" xfId="0" applyFont="1" applyBorder="1" applyAlignment="1">
      <alignment horizontal="right"/>
    </xf>
    <xf numFmtId="178" fontId="40" fillId="0" borderId="6" xfId="0" applyNumberFormat="1" applyFont="1" applyBorder="1"/>
    <xf numFmtId="178" fontId="44" fillId="0" borderId="0" xfId="0" applyNumberFormat="1" applyFont="1"/>
    <xf numFmtId="9" fontId="40" fillId="0" borderId="7" xfId="2" applyFont="1" applyBorder="1" applyAlignment="1">
      <alignment horizontal="right"/>
    </xf>
    <xf numFmtId="9" fontId="44" fillId="0" borderId="0" xfId="2" applyFont="1" applyFill="1" applyBorder="1"/>
    <xf numFmtId="9" fontId="40" fillId="0" borderId="0" xfId="2" applyFont="1" applyFill="1"/>
    <xf numFmtId="178" fontId="40" fillId="0" borderId="2" xfId="0" applyNumberFormat="1" applyFont="1" applyBorder="1" applyAlignment="1">
      <alignment horizontal="right"/>
    </xf>
    <xf numFmtId="9" fontId="40" fillId="0" borderId="5" xfId="2" applyFont="1" applyBorder="1" applyAlignment="1">
      <alignment horizontal="right"/>
    </xf>
    <xf numFmtId="178" fontId="40" fillId="0" borderId="7" xfId="0" applyNumberFormat="1" applyFont="1" applyBorder="1" applyAlignment="1">
      <alignment horizontal="right"/>
    </xf>
    <xf numFmtId="178" fontId="40" fillId="0" borderId="11" xfId="0" applyNumberFormat="1" applyFont="1" applyBorder="1" applyAlignment="1">
      <alignment horizontal="right"/>
    </xf>
    <xf numFmtId="176" fontId="40" fillId="0" borderId="0" xfId="0" applyNumberFormat="1" applyFont="1"/>
    <xf numFmtId="178" fontId="40" fillId="0" borderId="5" xfId="0" applyNumberFormat="1" applyFont="1" applyBorder="1" applyAlignment="1">
      <alignment horizontal="right"/>
    </xf>
    <xf numFmtId="0" fontId="44" fillId="0" borderId="0" xfId="0" applyFont="1"/>
    <xf numFmtId="9" fontId="40" fillId="0" borderId="7" xfId="0" applyNumberFormat="1" applyFont="1" applyBorder="1" applyAlignment="1">
      <alignment horizontal="right"/>
    </xf>
    <xf numFmtId="9" fontId="44" fillId="0" borderId="0" xfId="0" applyNumberFormat="1" applyFont="1"/>
    <xf numFmtId="9" fontId="40" fillId="0" borderId="0" xfId="0" applyNumberFormat="1" applyFont="1"/>
    <xf numFmtId="178" fontId="40" fillId="0" borderId="6" xfId="0" applyNumberFormat="1" applyFont="1" applyBorder="1" applyAlignment="1">
      <alignment horizontal="right"/>
    </xf>
    <xf numFmtId="0" fontId="40" fillId="8" borderId="0" xfId="0" applyFont="1" applyFill="1" applyAlignment="1">
      <alignment horizontal="center"/>
    </xf>
    <xf numFmtId="26" fontId="40" fillId="0" borderId="19" xfId="0" applyNumberFormat="1" applyFont="1" applyBorder="1" applyAlignment="1">
      <alignment horizontal="right" vertical="center"/>
    </xf>
    <xf numFmtId="0" fontId="40" fillId="0" borderId="0" xfId="0" applyFont="1" applyAlignment="1">
      <alignment horizontal="left" vertical="center"/>
    </xf>
    <xf numFmtId="0" fontId="40" fillId="0" borderId="0" xfId="2" applyNumberFormat="1" applyFont="1" applyFill="1" applyBorder="1" applyAlignment="1">
      <alignment horizontal="right" vertical="center"/>
    </xf>
    <xf numFmtId="9" fontId="40" fillId="0" borderId="0" xfId="2" applyFont="1" applyFill="1" applyBorder="1" applyAlignment="1">
      <alignment horizontal="right" vertical="center"/>
    </xf>
    <xf numFmtId="0" fontId="40" fillId="0" borderId="18" xfId="0" applyFont="1" applyBorder="1" applyAlignment="1">
      <alignment horizontal="left" vertical="center"/>
    </xf>
    <xf numFmtId="180" fontId="40" fillId="0" borderId="19" xfId="2" applyNumberFormat="1" applyFont="1" applyFill="1" applyBorder="1" applyAlignment="1">
      <alignment horizontal="right" vertical="center"/>
    </xf>
    <xf numFmtId="0" fontId="40" fillId="0" borderId="10" xfId="0" applyFont="1" applyBorder="1" applyAlignment="1">
      <alignment horizontal="left" vertical="center"/>
    </xf>
    <xf numFmtId="180" fontId="40" fillId="0" borderId="20" xfId="2" applyNumberFormat="1" applyFont="1" applyFill="1" applyBorder="1" applyAlignment="1">
      <alignment horizontal="right" vertical="center"/>
    </xf>
    <xf numFmtId="0" fontId="39" fillId="0" borderId="25" xfId="0" applyFont="1" applyBorder="1" applyAlignment="1">
      <alignment horizontal="left"/>
    </xf>
    <xf numFmtId="26" fontId="39" fillId="0" borderId="20" xfId="0" applyNumberFormat="1" applyFont="1" applyBorder="1"/>
    <xf numFmtId="26" fontId="39" fillId="0" borderId="26" xfId="0" applyNumberFormat="1" applyFont="1" applyBorder="1"/>
    <xf numFmtId="181" fontId="44" fillId="16" borderId="26" xfId="2" applyNumberFormat="1" applyFont="1" applyFill="1" applyBorder="1" applyAlignment="1">
      <alignment horizontal="right" vertical="center"/>
    </xf>
    <xf numFmtId="181" fontId="44" fillId="16" borderId="20" xfId="2" applyNumberFormat="1" applyFont="1" applyFill="1" applyBorder="1" applyAlignment="1">
      <alignment horizontal="right" vertical="center"/>
    </xf>
    <xf numFmtId="10" fontId="44" fillId="16" borderId="20" xfId="2" applyNumberFormat="1" applyFont="1" applyFill="1" applyBorder="1" applyAlignment="1">
      <alignment horizontal="right" vertical="center"/>
    </xf>
    <xf numFmtId="10" fontId="44" fillId="16" borderId="26" xfId="2" applyNumberFormat="1" applyFont="1" applyFill="1" applyBorder="1" applyAlignment="1">
      <alignment horizontal="right" vertical="center"/>
    </xf>
    <xf numFmtId="0" fontId="3" fillId="8" borderId="0" xfId="0" applyFont="1" applyFill="1" applyAlignment="1">
      <alignment wrapText="1"/>
    </xf>
    <xf numFmtId="178" fontId="42" fillId="8" borderId="0" xfId="0" applyNumberFormat="1" applyFont="1" applyFill="1"/>
    <xf numFmtId="0" fontId="3" fillId="0" borderId="0" xfId="0" applyFont="1" applyAlignment="1">
      <alignment wrapText="1"/>
    </xf>
    <xf numFmtId="0" fontId="62" fillId="0" borderId="0" xfId="0" applyFont="1"/>
    <xf numFmtId="180" fontId="39" fillId="0" borderId="1" xfId="0" applyNumberFormat="1" applyFont="1" applyBorder="1"/>
    <xf numFmtId="180" fontId="39" fillId="4" borderId="1" xfId="0" applyNumberFormat="1" applyFont="1" applyFill="1" applyBorder="1" applyProtection="1">
      <protection locked="0"/>
    </xf>
    <xf numFmtId="26" fontId="39" fillId="0" borderId="1" xfId="0" applyNumberFormat="1" applyFont="1" applyBorder="1"/>
    <xf numFmtId="0" fontId="42" fillId="0" borderId="10" xfId="0" applyFont="1" applyBorder="1" applyAlignment="1">
      <alignment horizontal="left"/>
    </xf>
    <xf numFmtId="10" fontId="42" fillId="0" borderId="17" xfId="2" applyNumberFormat="1" applyFont="1" applyFill="1" applyBorder="1"/>
    <xf numFmtId="10" fontId="42" fillId="0" borderId="26" xfId="2" applyNumberFormat="1" applyFont="1" applyFill="1" applyBorder="1"/>
    <xf numFmtId="0" fontId="42" fillId="0" borderId="15" xfId="0" applyFont="1" applyBorder="1" applyAlignment="1">
      <alignment horizontal="center"/>
    </xf>
    <xf numFmtId="0" fontId="42" fillId="0" borderId="14" xfId="0" applyFont="1" applyBorder="1" applyAlignment="1">
      <alignment horizontal="center" vertical="center"/>
    </xf>
    <xf numFmtId="0" fontId="42" fillId="0" borderId="29" xfId="0" applyFont="1" applyBorder="1" applyAlignment="1">
      <alignment horizontal="center" vertical="center"/>
    </xf>
    <xf numFmtId="0" fontId="55" fillId="0" borderId="0" xfId="0" applyFont="1" applyAlignment="1">
      <alignment horizontal="left" vertical="center"/>
    </xf>
    <xf numFmtId="0" fontId="5" fillId="0" borderId="8" xfId="0" applyFont="1" applyBorder="1" applyAlignment="1">
      <alignment horizontal="center" vertical="center"/>
    </xf>
    <xf numFmtId="0" fontId="40" fillId="8" borderId="40" xfId="0" applyFont="1" applyFill="1" applyBorder="1" applyAlignment="1">
      <alignment horizontal="left" vertical="center"/>
    </xf>
    <xf numFmtId="0" fontId="44" fillId="16" borderId="40" xfId="0" applyFont="1" applyFill="1" applyBorder="1" applyAlignment="1">
      <alignment horizontal="left" vertical="center"/>
    </xf>
    <xf numFmtId="0" fontId="44" fillId="16" borderId="38" xfId="0" applyFont="1" applyFill="1" applyBorder="1" applyAlignment="1">
      <alignment horizontal="left" vertical="center"/>
    </xf>
    <xf numFmtId="0" fontId="40" fillId="8" borderId="44" xfId="0" applyFont="1" applyFill="1" applyBorder="1" applyAlignment="1">
      <alignment horizontal="left" vertical="center"/>
    </xf>
    <xf numFmtId="26" fontId="40" fillId="0" borderId="29" xfId="0" applyNumberFormat="1" applyFont="1" applyBorder="1" applyAlignment="1">
      <alignment horizontal="right" vertical="center"/>
    </xf>
    <xf numFmtId="0" fontId="40" fillId="8" borderId="15" xfId="0" applyFont="1" applyFill="1" applyBorder="1" applyAlignment="1">
      <alignment horizontal="left" vertical="center"/>
    </xf>
    <xf numFmtId="26" fontId="40" fillId="8" borderId="29" xfId="0" applyNumberFormat="1" applyFont="1" applyFill="1" applyBorder="1" applyAlignment="1">
      <alignment horizontal="right" vertical="center"/>
    </xf>
    <xf numFmtId="0" fontId="40" fillId="0" borderId="47" xfId="0" applyFont="1" applyBorder="1" applyAlignment="1">
      <alignment horizontal="left" vertical="center"/>
    </xf>
    <xf numFmtId="0" fontId="40" fillId="0" borderId="40" xfId="0" applyFont="1" applyBorder="1" applyAlignment="1">
      <alignment horizontal="left" vertical="center"/>
    </xf>
    <xf numFmtId="180" fontId="40" fillId="16" borderId="20" xfId="2" applyNumberFormat="1" applyFont="1" applyFill="1" applyBorder="1" applyAlignment="1">
      <alignment horizontal="right" vertical="center"/>
    </xf>
    <xf numFmtId="182" fontId="40" fillId="0" borderId="20" xfId="2" applyNumberFormat="1" applyFont="1" applyFill="1" applyBorder="1" applyAlignment="1">
      <alignment horizontal="right" vertical="center"/>
    </xf>
    <xf numFmtId="181" fontId="40" fillId="16" borderId="20" xfId="2" applyNumberFormat="1" applyFont="1" applyFill="1" applyBorder="1" applyAlignment="1">
      <alignment horizontal="right" vertical="center"/>
    </xf>
    <xf numFmtId="181" fontId="40" fillId="16" borderId="26" xfId="2" applyNumberFormat="1" applyFont="1" applyFill="1" applyBorder="1" applyAlignment="1">
      <alignment horizontal="right" vertical="center"/>
    </xf>
    <xf numFmtId="0" fontId="39" fillId="0" borderId="18" xfId="0" applyFont="1" applyBorder="1" applyAlignment="1">
      <alignment horizontal="center"/>
    </xf>
    <xf numFmtId="0" fontId="39" fillId="0" borderId="19" xfId="0" applyFont="1" applyBorder="1" applyAlignment="1">
      <alignment horizontal="center"/>
    </xf>
    <xf numFmtId="0" fontId="39" fillId="0" borderId="18" xfId="0" applyFont="1" applyBorder="1"/>
    <xf numFmtId="0" fontId="39" fillId="0" borderId="16" xfId="0" applyFont="1" applyBorder="1" applyAlignment="1">
      <alignment horizontal="center" vertical="top" wrapText="1"/>
    </xf>
    <xf numFmtId="0" fontId="39" fillId="0" borderId="19" xfId="0" applyFont="1" applyBorder="1" applyAlignment="1">
      <alignment horizontal="center" vertical="top" wrapText="1"/>
    </xf>
    <xf numFmtId="0" fontId="44" fillId="0" borderId="0" xfId="0" applyFont="1" applyAlignment="1">
      <alignment horizontal="left"/>
    </xf>
    <xf numFmtId="0" fontId="67" fillId="0" borderId="0" xfId="0" applyFont="1" applyAlignment="1">
      <alignment horizontal="left"/>
    </xf>
    <xf numFmtId="0" fontId="69" fillId="0" borderId="0" xfId="0" applyFont="1" applyAlignment="1">
      <alignment vertical="center"/>
    </xf>
    <xf numFmtId="0" fontId="71" fillId="0" borderId="0" xfId="0" applyFont="1" applyAlignment="1">
      <alignment horizontal="left"/>
    </xf>
    <xf numFmtId="0" fontId="73" fillId="0" borderId="0" xfId="0" applyFont="1" applyAlignment="1">
      <alignment horizontal="left" vertical="center"/>
    </xf>
    <xf numFmtId="0" fontId="77" fillId="0" borderId="0" xfId="0" applyFont="1"/>
    <xf numFmtId="0" fontId="39" fillId="4" borderId="22" xfId="0" applyFont="1" applyFill="1" applyBorder="1" applyAlignment="1">
      <alignment horizontal="left"/>
    </xf>
    <xf numFmtId="43" fontId="42" fillId="16" borderId="55" xfId="3" applyFont="1" applyFill="1" applyBorder="1" applyAlignment="1">
      <alignment horizontal="center"/>
    </xf>
    <xf numFmtId="26" fontId="39" fillId="4" borderId="35" xfId="3" applyNumberFormat="1" applyFont="1" applyFill="1" applyBorder="1" applyAlignment="1" applyProtection="1">
      <alignment horizontal="right"/>
      <protection locked="0"/>
    </xf>
    <xf numFmtId="26" fontId="42" fillId="0" borderId="36" xfId="3" applyNumberFormat="1" applyFont="1" applyFill="1" applyBorder="1" applyAlignment="1">
      <alignment horizontal="right"/>
    </xf>
    <xf numFmtId="26" fontId="42" fillId="16" borderId="55" xfId="3" applyNumberFormat="1" applyFont="1" applyFill="1" applyBorder="1" applyAlignment="1">
      <alignment horizontal="center"/>
    </xf>
    <xf numFmtId="26" fontId="43" fillId="16" borderId="55" xfId="0" applyNumberFormat="1" applyFont="1" applyFill="1" applyBorder="1" applyAlignment="1">
      <alignment horizontal="center"/>
    </xf>
    <xf numFmtId="26" fontId="44" fillId="0" borderId="36" xfId="3" applyNumberFormat="1" applyFont="1" applyFill="1" applyBorder="1" applyAlignment="1">
      <alignment horizontal="right"/>
    </xf>
    <xf numFmtId="26" fontId="39" fillId="4" borderId="56" xfId="3" applyNumberFormat="1" applyFont="1" applyFill="1" applyBorder="1" applyAlignment="1" applyProtection="1">
      <alignment horizontal="right"/>
      <protection locked="0"/>
    </xf>
    <xf numFmtId="26" fontId="42" fillId="0" borderId="36" xfId="3" applyNumberFormat="1" applyFont="1" applyFill="1" applyBorder="1" applyAlignment="1">
      <alignment horizontal="center"/>
    </xf>
    <xf numFmtId="26" fontId="43" fillId="16" borderId="37" xfId="0" applyNumberFormat="1" applyFont="1" applyFill="1" applyBorder="1" applyAlignment="1">
      <alignment horizontal="center"/>
    </xf>
    <xf numFmtId="0" fontId="42" fillId="16" borderId="14" xfId="0" applyFont="1" applyFill="1" applyBorder="1" applyAlignment="1">
      <alignment horizontal="right" wrapText="1"/>
    </xf>
    <xf numFmtId="0" fontId="42" fillId="16" borderId="1" xfId="0" applyFont="1" applyFill="1" applyBorder="1" applyAlignment="1">
      <alignment horizontal="right" wrapText="1"/>
    </xf>
    <xf numFmtId="178" fontId="42" fillId="16" borderId="1" xfId="0" applyNumberFormat="1" applyFont="1" applyFill="1" applyBorder="1" applyAlignment="1">
      <alignment horizontal="right" wrapText="1"/>
    </xf>
    <xf numFmtId="178" fontId="42" fillId="16" borderId="14" xfId="0" applyNumberFormat="1" applyFont="1" applyFill="1" applyBorder="1" applyAlignment="1">
      <alignment horizontal="right" wrapText="1"/>
    </xf>
    <xf numFmtId="178" fontId="42" fillId="16" borderId="16" xfId="0" applyNumberFormat="1" applyFont="1" applyFill="1" applyBorder="1" applyAlignment="1">
      <alignment horizontal="right" wrapText="1"/>
    </xf>
    <xf numFmtId="9" fontId="39" fillId="4" borderId="20" xfId="2" applyFont="1" applyFill="1" applyBorder="1"/>
    <xf numFmtId="180" fontId="39" fillId="0" borderId="20" xfId="0" applyNumberFormat="1" applyFont="1" applyBorder="1"/>
    <xf numFmtId="180" fontId="39" fillId="4" borderId="17" xfId="0" applyNumberFormat="1" applyFont="1" applyFill="1" applyBorder="1" applyProtection="1">
      <protection locked="0"/>
    </xf>
    <xf numFmtId="180" fontId="39" fillId="0" borderId="26" xfId="0" applyNumberFormat="1" applyFont="1" applyBorder="1"/>
    <xf numFmtId="180" fontId="42" fillId="0" borderId="0" xfId="0" applyNumberFormat="1" applyFont="1"/>
    <xf numFmtId="180" fontId="42" fillId="0" borderId="0" xfId="0" applyNumberFormat="1" applyFont="1" applyAlignment="1">
      <alignment vertical="center"/>
    </xf>
    <xf numFmtId="181" fontId="40" fillId="0" borderId="20" xfId="3" applyNumberFormat="1" applyFont="1" applyFill="1" applyBorder="1" applyProtection="1"/>
    <xf numFmtId="181" fontId="40" fillId="0" borderId="20" xfId="0" applyNumberFormat="1" applyFont="1" applyBorder="1"/>
    <xf numFmtId="26" fontId="39" fillId="8" borderId="29" xfId="1" applyNumberFormat="1" applyFont="1" applyFill="1" applyBorder="1" applyProtection="1"/>
    <xf numFmtId="26" fontId="39" fillId="4" borderId="20" xfId="3" applyNumberFormat="1" applyFont="1" applyFill="1" applyBorder="1" applyProtection="1">
      <protection locked="0"/>
    </xf>
    <xf numFmtId="26" fontId="39" fillId="4" borderId="20" xfId="0" applyNumberFormat="1" applyFont="1" applyFill="1" applyBorder="1"/>
    <xf numFmtId="26" fontId="42" fillId="0" borderId="26" xfId="0" applyNumberFormat="1" applyFont="1" applyBorder="1"/>
    <xf numFmtId="26" fontId="5" fillId="0" borderId="0" xfId="0" applyNumberFormat="1" applyFont="1"/>
    <xf numFmtId="26" fontId="44" fillId="0" borderId="26" xfId="0" applyNumberFormat="1" applyFont="1" applyBorder="1"/>
    <xf numFmtId="26" fontId="40" fillId="4" borderId="20" xfId="0" applyNumberFormat="1" applyFont="1" applyFill="1" applyBorder="1"/>
    <xf numFmtId="26" fontId="40" fillId="8" borderId="20" xfId="0" applyNumberFormat="1" applyFont="1" applyFill="1" applyBorder="1"/>
    <xf numFmtId="26" fontId="40" fillId="4" borderId="20" xfId="0" applyNumberFormat="1" applyFont="1" applyFill="1" applyBorder="1" applyProtection="1">
      <protection locked="0"/>
    </xf>
    <xf numFmtId="26" fontId="40" fillId="4" borderId="29" xfId="0" applyNumberFormat="1" applyFont="1" applyFill="1" applyBorder="1" applyProtection="1">
      <protection locked="0"/>
    </xf>
    <xf numFmtId="180" fontId="39" fillId="4" borderId="1" xfId="2" applyNumberFormat="1" applyFont="1" applyFill="1" applyBorder="1" applyProtection="1">
      <protection locked="0"/>
    </xf>
    <xf numFmtId="180" fontId="39" fillId="8" borderId="17" xfId="2" applyNumberFormat="1" applyFont="1" applyFill="1" applyBorder="1" applyProtection="1"/>
    <xf numFmtId="180" fontId="3" fillId="4" borderId="20" xfId="0" applyNumberFormat="1" applyFont="1" applyFill="1" applyBorder="1" applyProtection="1">
      <protection locked="0"/>
    </xf>
    <xf numFmtId="180" fontId="5" fillId="0" borderId="26" xfId="0" applyNumberFormat="1" applyFont="1" applyBorder="1"/>
    <xf numFmtId="180" fontId="5" fillId="0" borderId="32" xfId="0" applyNumberFormat="1" applyFont="1" applyBorder="1"/>
    <xf numFmtId="180" fontId="3" fillId="4" borderId="20" xfId="3" applyNumberFormat="1" applyFont="1" applyFill="1" applyBorder="1" applyAlignment="1" applyProtection="1">
      <alignment horizontal="right"/>
      <protection locked="0"/>
    </xf>
    <xf numFmtId="180" fontId="5" fillId="0" borderId="26" xfId="3" applyNumberFormat="1" applyFont="1" applyFill="1" applyBorder="1" applyAlignment="1" applyProtection="1">
      <alignment horizontal="right"/>
    </xf>
    <xf numFmtId="180" fontId="5" fillId="0" borderId="0" xfId="3" applyNumberFormat="1" applyFont="1" applyBorder="1"/>
    <xf numFmtId="26" fontId="39" fillId="4" borderId="1" xfId="3" applyNumberFormat="1" applyFont="1" applyFill="1" applyBorder="1" applyAlignment="1" applyProtection="1">
      <alignment horizontal="right"/>
      <protection locked="0"/>
    </xf>
    <xf numFmtId="26" fontId="42" fillId="0" borderId="17" xfId="3" applyNumberFormat="1" applyFont="1" applyFill="1" applyBorder="1" applyAlignment="1">
      <alignment horizontal="right"/>
    </xf>
    <xf numFmtId="26" fontId="44" fillId="0" borderId="17" xfId="3" applyNumberFormat="1" applyFont="1" applyFill="1" applyBorder="1" applyAlignment="1">
      <alignment horizontal="right"/>
    </xf>
    <xf numFmtId="26" fontId="39" fillId="4" borderId="23" xfId="3" applyNumberFormat="1" applyFont="1" applyFill="1" applyBorder="1" applyAlignment="1" applyProtection="1">
      <alignment horizontal="right"/>
      <protection locked="0"/>
    </xf>
    <xf numFmtId="26" fontId="39" fillId="0" borderId="20" xfId="3" applyNumberFormat="1" applyFont="1" applyFill="1" applyBorder="1" applyAlignment="1">
      <alignment horizontal="right"/>
    </xf>
    <xf numFmtId="26" fontId="42" fillId="0" borderId="26" xfId="3" applyNumberFormat="1" applyFont="1" applyFill="1" applyBorder="1" applyAlignment="1">
      <alignment horizontal="right"/>
    </xf>
    <xf numFmtId="26" fontId="44" fillId="0" borderId="26" xfId="3" applyNumberFormat="1" applyFont="1" applyFill="1" applyBorder="1" applyAlignment="1">
      <alignment horizontal="right"/>
    </xf>
    <xf numFmtId="26" fontId="42" fillId="0" borderId="0" xfId="3" applyNumberFormat="1" applyFont="1" applyFill="1" applyBorder="1" applyAlignment="1">
      <alignment horizontal="right"/>
    </xf>
    <xf numFmtId="181" fontId="39" fillId="4" borderId="1" xfId="3" applyNumberFormat="1" applyFont="1" applyFill="1" applyBorder="1" applyAlignment="1" applyProtection="1">
      <alignment horizontal="right"/>
      <protection locked="0"/>
    </xf>
    <xf numFmtId="181" fontId="39" fillId="4" borderId="23" xfId="3" applyNumberFormat="1" applyFont="1" applyFill="1" applyBorder="1" applyAlignment="1" applyProtection="1">
      <alignment horizontal="right"/>
      <protection locked="0"/>
    </xf>
    <xf numFmtId="181" fontId="39" fillId="4" borderId="1" xfId="3" applyNumberFormat="1" applyFont="1" applyFill="1" applyBorder="1" applyProtection="1">
      <protection locked="0"/>
    </xf>
    <xf numFmtId="181" fontId="39" fillId="0" borderId="1" xfId="3" applyNumberFormat="1" applyFont="1" applyBorder="1" applyProtection="1"/>
    <xf numFmtId="181" fontId="42" fillId="0" borderId="17" xfId="3" applyNumberFormat="1" applyFont="1" applyFill="1" applyBorder="1"/>
    <xf numFmtId="181" fontId="42" fillId="0" borderId="17" xfId="0" applyNumberFormat="1" applyFont="1" applyBorder="1"/>
    <xf numFmtId="26" fontId="39" fillId="4" borderId="1" xfId="0" applyNumberFormat="1" applyFont="1" applyFill="1" applyBorder="1" applyProtection="1">
      <protection locked="0"/>
    </xf>
    <xf numFmtId="26" fontId="39" fillId="0" borderId="1" xfId="3" applyNumberFormat="1" applyFont="1" applyBorder="1"/>
    <xf numFmtId="26" fontId="42" fillId="0" borderId="17" xfId="0" applyNumberFormat="1" applyFont="1" applyBorder="1"/>
    <xf numFmtId="26" fontId="42" fillId="0" borderId="17" xfId="3" applyNumberFormat="1" applyFont="1" applyFill="1" applyBorder="1"/>
    <xf numFmtId="181" fontId="42" fillId="0" borderId="0" xfId="3" applyNumberFormat="1" applyFont="1" applyFill="1" applyBorder="1"/>
    <xf numFmtId="180" fontId="42" fillId="0" borderId="0" xfId="3" applyNumberFormat="1" applyFont="1" applyFill="1" applyBorder="1"/>
    <xf numFmtId="181" fontId="3" fillId="4" borderId="16" xfId="0" applyNumberFormat="1" applyFont="1" applyFill="1" applyBorder="1" applyProtection="1">
      <protection locked="0"/>
    </xf>
    <xf numFmtId="181" fontId="3" fillId="4" borderId="14" xfId="0" applyNumberFormat="1" applyFont="1" applyFill="1" applyBorder="1" applyProtection="1">
      <protection locked="0"/>
    </xf>
    <xf numFmtId="181" fontId="3" fillId="4" borderId="1" xfId="0" applyNumberFormat="1" applyFont="1" applyFill="1" applyBorder="1" applyProtection="1">
      <protection locked="0"/>
    </xf>
    <xf numFmtId="181" fontId="3" fillId="0" borderId="17" xfId="0" applyNumberFormat="1" applyFont="1" applyBorder="1"/>
    <xf numFmtId="181" fontId="39" fillId="4" borderId="14" xfId="0" applyNumberFormat="1" applyFont="1" applyFill="1" applyBorder="1" applyProtection="1">
      <protection locked="0"/>
    </xf>
    <xf numFmtId="181" fontId="39" fillId="4" borderId="1" xfId="0" applyNumberFormat="1" applyFont="1" applyFill="1" applyBorder="1" applyProtection="1">
      <protection locked="0"/>
    </xf>
    <xf numFmtId="181" fontId="39" fillId="4" borderId="23" xfId="0" applyNumberFormat="1" applyFont="1" applyFill="1" applyBorder="1" applyProtection="1">
      <protection locked="0"/>
    </xf>
    <xf numFmtId="181" fontId="42" fillId="0" borderId="51" xfId="0" applyNumberFormat="1" applyFont="1" applyBorder="1"/>
    <xf numFmtId="181" fontId="42" fillId="0" borderId="23" xfId="0" applyNumberFormat="1" applyFont="1" applyBorder="1" applyAlignment="1">
      <alignment horizontal="right"/>
    </xf>
    <xf numFmtId="181" fontId="39" fillId="4" borderId="14" xfId="0" applyNumberFormat="1" applyFont="1" applyFill="1" applyBorder="1" applyAlignment="1" applyProtection="1">
      <alignment horizontal="right"/>
      <protection locked="0"/>
    </xf>
    <xf numFmtId="181" fontId="39" fillId="4" borderId="23" xfId="0" applyNumberFormat="1" applyFont="1" applyFill="1" applyBorder="1" applyAlignment="1" applyProtection="1">
      <alignment horizontal="right"/>
      <protection locked="0"/>
    </xf>
    <xf numFmtId="181" fontId="42" fillId="8" borderId="17" xfId="0" applyNumberFormat="1" applyFont="1" applyFill="1" applyBorder="1" applyAlignment="1">
      <alignment horizontal="right"/>
    </xf>
    <xf numFmtId="181" fontId="42" fillId="8" borderId="23" xfId="0" applyNumberFormat="1" applyFont="1" applyFill="1" applyBorder="1" applyAlignment="1">
      <alignment horizontal="right"/>
    </xf>
    <xf numFmtId="181" fontId="39" fillId="8" borderId="14" xfId="0" applyNumberFormat="1" applyFont="1" applyFill="1" applyBorder="1" applyAlignment="1">
      <alignment horizontal="right"/>
    </xf>
    <xf numFmtId="181" fontId="39" fillId="0" borderId="17" xfId="0" applyNumberFormat="1" applyFont="1" applyBorder="1" applyAlignment="1">
      <alignment horizontal="right"/>
    </xf>
    <xf numFmtId="26" fontId="42" fillId="0" borderId="34" xfId="3" applyNumberFormat="1" applyFont="1" applyBorder="1" applyAlignment="1">
      <alignment horizontal="right"/>
    </xf>
    <xf numFmtId="26" fontId="42" fillId="0" borderId="45" xfId="0" applyNumberFormat="1" applyFont="1" applyBorder="1" applyAlignment="1">
      <alignment horizontal="right"/>
    </xf>
    <xf numFmtId="26" fontId="42" fillId="8" borderId="26" xfId="0" applyNumberFormat="1" applyFont="1" applyFill="1" applyBorder="1" applyAlignment="1">
      <alignment horizontal="right"/>
    </xf>
    <xf numFmtId="26" fontId="42" fillId="8" borderId="32" xfId="0" applyNumberFormat="1" applyFont="1" applyFill="1" applyBorder="1" applyAlignment="1">
      <alignment horizontal="right"/>
    </xf>
    <xf numFmtId="26" fontId="39" fillId="8" borderId="6" xfId="0" applyNumberFormat="1" applyFont="1" applyFill="1" applyBorder="1"/>
    <xf numFmtId="26" fontId="42" fillId="0" borderId="6" xfId="0" applyNumberFormat="1" applyFont="1" applyBorder="1" applyAlignment="1">
      <alignment horizontal="right" vertical="center"/>
    </xf>
    <xf numFmtId="26" fontId="42" fillId="0" borderId="9" xfId="0" applyNumberFormat="1" applyFont="1" applyBorder="1" applyAlignment="1">
      <alignment horizontal="right" vertical="center"/>
    </xf>
    <xf numFmtId="181" fontId="39" fillId="4" borderId="1" xfId="0" applyNumberFormat="1" applyFont="1" applyFill="1" applyBorder="1" applyAlignment="1" applyProtection="1">
      <alignment horizontal="right"/>
      <protection locked="0"/>
    </xf>
    <xf numFmtId="181" fontId="39" fillId="0" borderId="17" xfId="0" applyNumberFormat="1" applyFont="1" applyBorder="1"/>
    <xf numFmtId="181" fontId="39" fillId="0" borderId="23" xfId="0" applyNumberFormat="1" applyFont="1" applyBorder="1"/>
    <xf numFmtId="181" fontId="39" fillId="0" borderId="1" xfId="0" applyNumberFormat="1" applyFont="1" applyBorder="1"/>
    <xf numFmtId="181" fontId="42" fillId="0" borderId="43" xfId="0" applyNumberFormat="1" applyFont="1" applyBorder="1"/>
    <xf numFmtId="26" fontId="39" fillId="0" borderId="17" xfId="0" applyNumberFormat="1" applyFont="1" applyBorder="1"/>
    <xf numFmtId="26" fontId="42" fillId="0" borderId="34" xfId="0" applyNumberFormat="1" applyFont="1" applyBorder="1"/>
    <xf numFmtId="26" fontId="39" fillId="4" borderId="1" xfId="0" applyNumberFormat="1" applyFont="1" applyFill="1" applyBorder="1" applyAlignment="1" applyProtection="1">
      <alignment horizontal="right"/>
      <protection locked="0"/>
    </xf>
    <xf numFmtId="26" fontId="42" fillId="0" borderId="43" xfId="0" applyNumberFormat="1" applyFont="1" applyBorder="1"/>
    <xf numFmtId="26" fontId="42" fillId="0" borderId="0" xfId="0" applyNumberFormat="1" applyFont="1"/>
    <xf numFmtId="26" fontId="42" fillId="0" borderId="45" xfId="0" applyNumberFormat="1" applyFont="1" applyBorder="1"/>
    <xf numFmtId="26" fontId="42" fillId="0" borderId="8" xfId="0" applyNumberFormat="1" applyFont="1" applyBorder="1"/>
    <xf numFmtId="26" fontId="39" fillId="0" borderId="23" xfId="0" applyNumberFormat="1" applyFont="1" applyBorder="1"/>
    <xf numFmtId="26" fontId="42" fillId="0" borderId="23" xfId="0" applyNumberFormat="1" applyFont="1" applyBorder="1"/>
    <xf numFmtId="26" fontId="42" fillId="0" borderId="32" xfId="0" applyNumberFormat="1" applyFont="1" applyBorder="1"/>
    <xf numFmtId="26" fontId="42" fillId="0" borderId="1" xfId="0" applyNumberFormat="1" applyFont="1" applyBorder="1"/>
    <xf numFmtId="26" fontId="42" fillId="0" borderId="20" xfId="0" applyNumberFormat="1" applyFont="1" applyBorder="1"/>
    <xf numFmtId="26" fontId="3" fillId="0" borderId="3" xfId="0" applyNumberFormat="1" applyFont="1" applyBorder="1"/>
    <xf numFmtId="26" fontId="3" fillId="0" borderId="0" xfId="0" applyNumberFormat="1" applyFont="1"/>
    <xf numFmtId="26" fontId="39" fillId="0" borderId="0" xfId="0" applyNumberFormat="1" applyFont="1"/>
    <xf numFmtId="26" fontId="39" fillId="0" borderId="3" xfId="0" applyNumberFormat="1" applyFont="1" applyBorder="1"/>
    <xf numFmtId="26" fontId="3" fillId="0" borderId="0" xfId="2" applyNumberFormat="1" applyFont="1" applyFill="1" applyBorder="1"/>
    <xf numFmtId="26" fontId="3" fillId="0" borderId="8" xfId="2" applyNumberFormat="1" applyFont="1" applyFill="1" applyBorder="1"/>
    <xf numFmtId="26" fontId="3" fillId="0" borderId="4" xfId="0" applyNumberFormat="1" applyFont="1" applyBorder="1"/>
    <xf numFmtId="26" fontId="3" fillId="0" borderId="6" xfId="0" applyNumberFormat="1" applyFont="1" applyBorder="1"/>
    <xf numFmtId="26" fontId="39" fillId="0" borderId="6" xfId="0" applyNumberFormat="1" applyFont="1" applyBorder="1"/>
    <xf numFmtId="26" fontId="39" fillId="0" borderId="4" xfId="0" applyNumberFormat="1" applyFont="1" applyBorder="1"/>
    <xf numFmtId="26" fontId="3" fillId="0" borderId="6" xfId="2" applyNumberFormat="1" applyFont="1" applyFill="1" applyBorder="1"/>
    <xf numFmtId="26" fontId="3" fillId="0" borderId="9" xfId="2" applyNumberFormat="1" applyFont="1" applyFill="1" applyBorder="1"/>
    <xf numFmtId="26" fontId="42" fillId="0" borderId="0" xfId="3" applyNumberFormat="1" applyFont="1" applyFill="1" applyBorder="1"/>
    <xf numFmtId="181" fontId="3" fillId="8" borderId="0" xfId="0" applyNumberFormat="1" applyFont="1" applyFill="1" applyAlignment="1">
      <alignment horizontal="right"/>
    </xf>
    <xf numFmtId="180" fontId="39" fillId="8" borderId="6" xfId="0" applyNumberFormat="1" applyFont="1" applyFill="1" applyBorder="1"/>
    <xf numFmtId="180" fontId="42" fillId="0" borderId="6" xfId="0" applyNumberFormat="1" applyFont="1" applyBorder="1" applyAlignment="1">
      <alignment horizontal="right" vertical="center"/>
    </xf>
    <xf numFmtId="180" fontId="42" fillId="0" borderId="9" xfId="0" applyNumberFormat="1" applyFont="1" applyBorder="1" applyAlignment="1">
      <alignment horizontal="right" vertical="center"/>
    </xf>
    <xf numFmtId="181" fontId="3" fillId="8" borderId="0" xfId="0" applyNumberFormat="1" applyFont="1" applyFill="1"/>
    <xf numFmtId="26" fontId="45" fillId="16" borderId="16" xfId="0" applyNumberFormat="1" applyFont="1" applyFill="1" applyBorder="1" applyAlignment="1">
      <alignment horizontal="right"/>
    </xf>
    <xf numFmtId="26" fontId="42" fillId="16" borderId="16" xfId="0" applyNumberFormat="1" applyFont="1" applyFill="1" applyBorder="1" applyAlignment="1">
      <alignment horizontal="right"/>
    </xf>
    <xf numFmtId="26" fontId="42" fillId="16" borderId="19" xfId="0" applyNumberFormat="1" applyFont="1" applyFill="1" applyBorder="1" applyAlignment="1">
      <alignment horizontal="right"/>
    </xf>
    <xf numFmtId="180" fontId="40" fillId="0" borderId="4" xfId="0" applyNumberFormat="1" applyFont="1" applyBorder="1"/>
    <xf numFmtId="180" fontId="40" fillId="0" borderId="6" xfId="0" applyNumberFormat="1" applyFont="1" applyBorder="1"/>
    <xf numFmtId="180" fontId="40" fillId="0" borderId="9" xfId="0" applyNumberFormat="1" applyFont="1" applyBorder="1"/>
    <xf numFmtId="180" fontId="40" fillId="0" borderId="13" xfId="0" applyNumberFormat="1" applyFont="1" applyBorder="1"/>
    <xf numFmtId="180" fontId="40" fillId="0" borderId="6" xfId="0" applyNumberFormat="1" applyFont="1" applyBorder="1" applyAlignment="1">
      <alignment horizontal="right"/>
    </xf>
    <xf numFmtId="180" fontId="40" fillId="0" borderId="4" xfId="0" applyNumberFormat="1" applyFont="1" applyBorder="1" applyAlignment="1">
      <alignment horizontal="right"/>
    </xf>
    <xf numFmtId="180" fontId="40" fillId="0" borderId="13" xfId="0" applyNumberFormat="1" applyFont="1" applyBorder="1" applyAlignment="1">
      <alignment horizontal="right"/>
    </xf>
    <xf numFmtId="180" fontId="40" fillId="0" borderId="9" xfId="0" applyNumberFormat="1" applyFont="1" applyBorder="1" applyAlignment="1">
      <alignment horizontal="right"/>
    </xf>
    <xf numFmtId="10" fontId="40" fillId="0" borderId="9" xfId="2" applyNumberFormat="1" applyFont="1" applyBorder="1"/>
    <xf numFmtId="10" fontId="40" fillId="0" borderId="6" xfId="2" applyNumberFormat="1" applyFont="1" applyBorder="1"/>
    <xf numFmtId="10" fontId="40" fillId="0" borderId="9" xfId="0" applyNumberFormat="1" applyFont="1" applyBorder="1" applyAlignment="1">
      <alignment horizontal="right"/>
    </xf>
    <xf numFmtId="10" fontId="40" fillId="0" borderId="9" xfId="0" applyNumberFormat="1" applyFont="1" applyBorder="1"/>
    <xf numFmtId="10" fontId="40" fillId="0" borderId="6" xfId="0" applyNumberFormat="1" applyFont="1" applyBorder="1"/>
    <xf numFmtId="10" fontId="40" fillId="0" borderId="6" xfId="0" applyNumberFormat="1" applyFont="1" applyBorder="1" applyAlignment="1">
      <alignment horizontal="right"/>
    </xf>
    <xf numFmtId="26" fontId="40" fillId="0" borderId="19" xfId="2" applyNumberFormat="1" applyFont="1" applyFill="1" applyBorder="1" applyAlignment="1">
      <alignment horizontal="right" vertical="center"/>
    </xf>
    <xf numFmtId="26" fontId="40" fillId="0" borderId="20" xfId="2" applyNumberFormat="1" applyFont="1" applyFill="1" applyBorder="1" applyAlignment="1">
      <alignment horizontal="right" vertical="center"/>
    </xf>
    <xf numFmtId="26" fontId="44" fillId="16" borderId="20" xfId="2" applyNumberFormat="1" applyFont="1" applyFill="1" applyBorder="1" applyAlignment="1">
      <alignment horizontal="right" vertical="center"/>
    </xf>
    <xf numFmtId="182" fontId="40" fillId="4" borderId="20" xfId="2" applyNumberFormat="1" applyFont="1" applyFill="1" applyBorder="1" applyAlignment="1">
      <alignment horizontal="right" vertical="center"/>
    </xf>
    <xf numFmtId="10" fontId="40" fillId="4" borderId="20" xfId="2" applyNumberFormat="1" applyFont="1" applyFill="1" applyBorder="1" applyAlignment="1">
      <alignment horizontal="right" vertical="center"/>
    </xf>
    <xf numFmtId="180" fontId="40" fillId="0" borderId="1" xfId="0" applyNumberFormat="1" applyFont="1" applyBorder="1"/>
    <xf numFmtId="181" fontId="39" fillId="4" borderId="20" xfId="0" applyNumberFormat="1" applyFont="1" applyFill="1" applyBorder="1" applyProtection="1">
      <protection locked="0"/>
    </xf>
    <xf numFmtId="181" fontId="39" fillId="0" borderId="20" xfId="0" applyNumberFormat="1" applyFont="1" applyBorder="1"/>
    <xf numFmtId="26" fontId="39" fillId="4" borderId="20" xfId="0" applyNumberFormat="1" applyFont="1" applyFill="1" applyBorder="1" applyProtection="1">
      <protection locked="0"/>
    </xf>
    <xf numFmtId="10" fontId="40" fillId="8" borderId="20" xfId="2" applyNumberFormat="1" applyFont="1" applyFill="1" applyBorder="1" applyAlignment="1">
      <alignment horizontal="right" vertical="center"/>
    </xf>
    <xf numFmtId="10" fontId="40" fillId="0" borderId="20" xfId="2" applyNumberFormat="1" applyFont="1" applyFill="1" applyBorder="1" applyAlignment="1">
      <alignment horizontal="right" vertical="center"/>
    </xf>
    <xf numFmtId="10" fontId="40" fillId="16" borderId="20" xfId="2" applyNumberFormat="1" applyFont="1" applyFill="1" applyBorder="1" applyAlignment="1">
      <alignment horizontal="right" vertical="center"/>
    </xf>
    <xf numFmtId="26" fontId="40" fillId="16" borderId="20" xfId="2" applyNumberFormat="1" applyFont="1" applyFill="1" applyBorder="1" applyAlignment="1">
      <alignment horizontal="right" vertical="center"/>
    </xf>
    <xf numFmtId="181" fontId="3" fillId="4" borderId="1" xfId="0" applyNumberFormat="1" applyFont="1" applyFill="1" applyBorder="1" applyAlignment="1">
      <alignment horizontal="right"/>
    </xf>
    <xf numFmtId="181" fontId="3" fillId="0" borderId="1" xfId="0" applyNumberFormat="1" applyFont="1" applyBorder="1" applyAlignment="1" applyProtection="1">
      <alignment horizontal="right"/>
      <protection locked="0"/>
    </xf>
    <xf numFmtId="0" fontId="3" fillId="0" borderId="15" xfId="0" applyFont="1" applyBorder="1" applyAlignment="1">
      <alignment horizontal="left" vertical="center"/>
    </xf>
    <xf numFmtId="0" fontId="3" fillId="0" borderId="29" xfId="0" applyFont="1" applyBorder="1" applyAlignment="1">
      <alignment horizontal="left"/>
    </xf>
    <xf numFmtId="0" fontId="39" fillId="0" borderId="25" xfId="0" applyFont="1" applyBorder="1"/>
    <xf numFmtId="0" fontId="10" fillId="6" borderId="53" xfId="0" applyFont="1" applyFill="1" applyBorder="1" applyAlignment="1">
      <alignment horizontal="left"/>
    </xf>
    <xf numFmtId="0" fontId="10" fillId="0" borderId="0" xfId="0" applyFont="1" applyAlignment="1">
      <alignment horizontal="left"/>
    </xf>
    <xf numFmtId="0" fontId="3" fillId="0" borderId="19" xfId="0" applyFont="1" applyBorder="1" applyAlignment="1">
      <alignment vertical="top" wrapText="1"/>
    </xf>
    <xf numFmtId="180" fontId="3" fillId="4" borderId="20" xfId="0" applyNumberFormat="1" applyFont="1" applyFill="1" applyBorder="1"/>
    <xf numFmtId="182" fontId="3" fillId="0" borderId="1" xfId="0" applyNumberFormat="1" applyFont="1" applyBorder="1" applyAlignment="1" applyProtection="1">
      <alignment horizontal="right"/>
      <protection locked="0"/>
    </xf>
    <xf numFmtId="9" fontId="39" fillId="0" borderId="0" xfId="2" applyFont="1" applyBorder="1" applyAlignment="1">
      <alignment horizontal="right"/>
    </xf>
    <xf numFmtId="0" fontId="42" fillId="6" borderId="27" xfId="0" applyFont="1" applyFill="1" applyBorder="1" applyAlignment="1">
      <alignment horizontal="left"/>
    </xf>
    <xf numFmtId="0" fontId="42" fillId="6" borderId="21" xfId="0" applyFont="1" applyFill="1" applyBorder="1" applyAlignment="1">
      <alignment horizontal="left"/>
    </xf>
    <xf numFmtId="0" fontId="42" fillId="6" borderId="28" xfId="0" applyFont="1" applyFill="1" applyBorder="1" applyAlignment="1">
      <alignment horizontal="left"/>
    </xf>
    <xf numFmtId="0" fontId="42" fillId="6" borderId="11" xfId="0" applyFont="1" applyFill="1" applyBorder="1" applyAlignment="1">
      <alignment horizontal="left"/>
    </xf>
    <xf numFmtId="0" fontId="42" fillId="6" borderId="12" xfId="0" applyFont="1" applyFill="1" applyBorder="1" applyAlignment="1">
      <alignment horizontal="left"/>
    </xf>
    <xf numFmtId="0" fontId="42" fillId="6" borderId="13" xfId="0" applyFont="1" applyFill="1" applyBorder="1" applyAlignment="1">
      <alignment horizontal="left"/>
    </xf>
    <xf numFmtId="0" fontId="49" fillId="0" borderId="1" xfId="0" applyFont="1" applyBorder="1" applyAlignment="1">
      <alignment horizontal="center"/>
    </xf>
    <xf numFmtId="0" fontId="7" fillId="0" borderId="1" xfId="0" applyFont="1" applyBorder="1" applyAlignment="1">
      <alignment horizontal="center"/>
    </xf>
    <xf numFmtId="0" fontId="5" fillId="6" borderId="11" xfId="0" applyFont="1" applyFill="1" applyBorder="1" applyAlignment="1">
      <alignment horizontal="left"/>
    </xf>
    <xf numFmtId="0" fontId="5" fillId="6" borderId="13" xfId="0" applyFont="1" applyFill="1" applyBorder="1" applyAlignment="1">
      <alignment horizontal="left"/>
    </xf>
    <xf numFmtId="0" fontId="5" fillId="6" borderId="12" xfId="0" applyFont="1" applyFill="1" applyBorder="1" applyAlignment="1">
      <alignment horizontal="left"/>
    </xf>
    <xf numFmtId="0" fontId="44" fillId="6" borderId="11" xfId="0" applyFont="1" applyFill="1" applyBorder="1" applyAlignment="1">
      <alignment horizontal="left"/>
    </xf>
    <xf numFmtId="0" fontId="44" fillId="6" borderId="13" xfId="0" applyFont="1" applyFill="1" applyBorder="1" applyAlignment="1">
      <alignment horizontal="left"/>
    </xf>
    <xf numFmtId="0" fontId="42" fillId="0" borderId="0" xfId="0" applyFont="1" applyAlignment="1">
      <alignment horizontal="right" vertical="center"/>
    </xf>
    <xf numFmtId="0" fontId="7" fillId="6" borderId="11" xfId="0" applyFont="1" applyFill="1" applyBorder="1" applyAlignment="1">
      <alignment horizontal="left"/>
    </xf>
    <xf numFmtId="0" fontId="7" fillId="6" borderId="13" xfId="0" applyFont="1" applyFill="1" applyBorder="1" applyAlignment="1">
      <alignment horizontal="left"/>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42" fillId="0" borderId="0" xfId="0" applyFont="1" applyAlignment="1">
      <alignment horizontal="right"/>
    </xf>
    <xf numFmtId="0" fontId="3" fillId="0" borderId="11" xfId="0" applyFont="1" applyBorder="1" applyAlignment="1">
      <alignment horizontal="left" vertical="center" wrapText="1"/>
    </xf>
    <xf numFmtId="0" fontId="39" fillId="0" borderId="13" xfId="0" applyFont="1" applyBorder="1" applyAlignment="1">
      <alignment horizontal="left" vertical="center" wrapText="1"/>
    </xf>
    <xf numFmtId="0" fontId="10" fillId="0" borderId="1" xfId="0" applyFont="1" applyBorder="1" applyAlignment="1">
      <alignment horizontal="center"/>
    </xf>
    <xf numFmtId="0" fontId="39" fillId="4" borderId="11" xfId="0" applyFont="1" applyFill="1" applyBorder="1" applyAlignment="1" applyProtection="1">
      <alignment horizontal="center" vertical="center"/>
      <protection locked="0"/>
    </xf>
    <xf numFmtId="0" fontId="39" fillId="4" borderId="13" xfId="0" applyFont="1" applyFill="1" applyBorder="1" applyAlignment="1" applyProtection="1">
      <alignment horizontal="center" vertical="center"/>
      <protection locked="0"/>
    </xf>
    <xf numFmtId="0" fontId="42" fillId="16" borderId="47" xfId="0" applyFont="1" applyFill="1" applyBorder="1" applyAlignment="1">
      <alignment horizontal="left" vertical="top"/>
    </xf>
    <xf numFmtId="0" fontId="42" fillId="16" borderId="48" xfId="0" applyFont="1" applyFill="1" applyBorder="1" applyAlignment="1">
      <alignment horizontal="left" vertical="top"/>
    </xf>
    <xf numFmtId="0" fontId="42" fillId="6" borderId="11" xfId="0" applyFont="1" applyFill="1" applyBorder="1" applyAlignment="1">
      <alignment horizontal="center"/>
    </xf>
    <xf numFmtId="0" fontId="42" fillId="6" borderId="12" xfId="0" applyFont="1" applyFill="1" applyBorder="1" applyAlignment="1">
      <alignment horizontal="center"/>
    </xf>
    <xf numFmtId="0" fontId="42" fillId="6" borderId="13" xfId="0" applyFont="1" applyFill="1" applyBorder="1" applyAlignment="1">
      <alignment horizontal="center"/>
    </xf>
    <xf numFmtId="177" fontId="45" fillId="16" borderId="18" xfId="0" applyNumberFormat="1" applyFont="1" applyFill="1" applyBorder="1" applyAlignment="1">
      <alignment horizontal="left" vertical="center"/>
    </xf>
    <xf numFmtId="177" fontId="45" fillId="16" borderId="22" xfId="0" applyNumberFormat="1" applyFont="1" applyFill="1" applyBorder="1" applyAlignment="1">
      <alignment horizontal="left" vertical="center"/>
    </xf>
    <xf numFmtId="0" fontId="42" fillId="16" borderId="16" xfId="0" applyFont="1" applyFill="1" applyBorder="1" applyAlignment="1">
      <alignment horizontal="center"/>
    </xf>
    <xf numFmtId="0" fontId="42" fillId="16" borderId="16" xfId="0" applyFont="1" applyFill="1" applyBorder="1" applyAlignment="1">
      <alignment horizontal="center" vertical="center"/>
    </xf>
    <xf numFmtId="0" fontId="42" fillId="16" borderId="23" xfId="0" applyFont="1" applyFill="1" applyBorder="1" applyAlignment="1">
      <alignment horizontal="center" vertical="center"/>
    </xf>
    <xf numFmtId="0" fontId="42" fillId="16" borderId="49"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8" borderId="0" xfId="0" applyFont="1" applyFill="1" applyAlignment="1">
      <alignment horizontal="right"/>
    </xf>
    <xf numFmtId="0" fontId="39" fillId="8" borderId="0" xfId="0" applyFont="1" applyFill="1" applyAlignment="1">
      <alignment horizontal="left"/>
    </xf>
    <xf numFmtId="177" fontId="45" fillId="16" borderId="15" xfId="0" applyNumberFormat="1" applyFont="1" applyFill="1" applyBorder="1" applyAlignment="1">
      <alignment horizontal="left" vertical="center"/>
    </xf>
    <xf numFmtId="0" fontId="42" fillId="16" borderId="14" xfId="0" applyFont="1" applyFill="1" applyBorder="1" applyAlignment="1">
      <alignment horizontal="center"/>
    </xf>
    <xf numFmtId="0" fontId="42" fillId="16" borderId="14" xfId="0" applyFont="1" applyFill="1" applyBorder="1" applyAlignment="1">
      <alignment horizontal="center" vertical="center"/>
    </xf>
    <xf numFmtId="0" fontId="40" fillId="0" borderId="40" xfId="0" applyFont="1" applyBorder="1" applyAlignment="1">
      <alignment horizontal="left"/>
    </xf>
    <xf numFmtId="0" fontId="40" fillId="0" borderId="41" xfId="0" applyFont="1" applyBorder="1" applyAlignment="1">
      <alignment horizontal="left"/>
    </xf>
    <xf numFmtId="0" fontId="40" fillId="0" borderId="42" xfId="0" applyFont="1" applyBorder="1" applyAlignment="1">
      <alignment horizontal="left"/>
    </xf>
    <xf numFmtId="177" fontId="45" fillId="16" borderId="15" xfId="0" applyNumberFormat="1" applyFont="1" applyFill="1" applyBorder="1" applyAlignment="1">
      <alignment horizontal="left" vertical="center" wrapText="1"/>
    </xf>
    <xf numFmtId="177" fontId="45" fillId="16" borderId="10" xfId="0" applyNumberFormat="1" applyFont="1" applyFill="1" applyBorder="1" applyAlignment="1">
      <alignment horizontal="left" vertical="center" wrapText="1"/>
    </xf>
    <xf numFmtId="0" fontId="42" fillId="16" borderId="30" xfId="0" applyFont="1" applyFill="1" applyBorder="1" applyAlignment="1">
      <alignment horizontal="center" vertical="center"/>
    </xf>
    <xf numFmtId="0" fontId="42" fillId="16" borderId="29" xfId="0" applyFont="1" applyFill="1" applyBorder="1" applyAlignment="1">
      <alignment horizontal="center" vertical="center" wrapText="1"/>
    </xf>
    <xf numFmtId="0" fontId="56" fillId="0" borderId="0" xfId="0" applyFont="1" applyAlignment="1">
      <alignment horizontal="left"/>
    </xf>
    <xf numFmtId="0" fontId="1" fillId="0" borderId="0" xfId="0" applyFont="1" applyAlignment="1">
      <alignment horizontal="left" vertical="top" wrapText="1"/>
    </xf>
    <xf numFmtId="0" fontId="10" fillId="0" borderId="35" xfId="0" applyFont="1" applyBorder="1" applyAlignment="1">
      <alignment horizontal="center"/>
    </xf>
    <xf numFmtId="0" fontId="55" fillId="0" borderId="41" xfId="0" applyFont="1" applyBorder="1" applyAlignment="1">
      <alignment horizontal="center"/>
    </xf>
    <xf numFmtId="0" fontId="55" fillId="0" borderId="39" xfId="0" applyFont="1" applyBorder="1" applyAlignment="1">
      <alignment horizontal="center"/>
    </xf>
    <xf numFmtId="177" fontId="45" fillId="16" borderId="10" xfId="0" applyNumberFormat="1" applyFont="1" applyFill="1" applyBorder="1" applyAlignment="1">
      <alignment horizontal="left" vertical="center"/>
    </xf>
    <xf numFmtId="0" fontId="42" fillId="16" borderId="1" xfId="0" applyFont="1" applyFill="1" applyBorder="1" applyAlignment="1">
      <alignment horizontal="center" vertical="center"/>
    </xf>
    <xf numFmtId="0" fontId="39" fillId="0" borderId="0" xfId="0" applyFont="1" applyAlignment="1">
      <alignment horizontal="center"/>
    </xf>
    <xf numFmtId="0" fontId="57" fillId="0" borderId="0" xfId="0" applyFont="1" applyAlignment="1">
      <alignment horizontal="left"/>
    </xf>
    <xf numFmtId="0" fontId="41" fillId="0" borderId="0" xfId="0" applyFont="1" applyAlignment="1">
      <alignment horizontal="left" wrapText="1"/>
    </xf>
    <xf numFmtId="0" fontId="55" fillId="0" borderId="1" xfId="0" applyFont="1" applyBorder="1" applyAlignment="1">
      <alignment horizontal="center"/>
    </xf>
    <xf numFmtId="26" fontId="39" fillId="0" borderId="1" xfId="0" applyNumberFormat="1" applyFont="1" applyBorder="1" applyAlignment="1">
      <alignment horizontal="center"/>
    </xf>
    <xf numFmtId="0" fontId="39" fillId="8" borderId="31" xfId="0" applyFont="1" applyFill="1" applyBorder="1" applyAlignment="1">
      <alignment horizontal="left"/>
    </xf>
    <xf numFmtId="0" fontId="39" fillId="8" borderId="30" xfId="0" applyFont="1" applyFill="1" applyBorder="1" applyAlignment="1">
      <alignment horizontal="left"/>
    </xf>
    <xf numFmtId="0" fontId="39" fillId="8" borderId="33" xfId="0" applyFont="1" applyFill="1" applyBorder="1" applyAlignment="1">
      <alignment horizontal="left"/>
    </xf>
    <xf numFmtId="0" fontId="39" fillId="8" borderId="11" xfId="0" applyFont="1" applyFill="1" applyBorder="1" applyAlignment="1">
      <alignment horizontal="left"/>
    </xf>
    <xf numFmtId="0" fontId="39" fillId="8" borderId="12" xfId="0" applyFont="1" applyFill="1" applyBorder="1" applyAlignment="1">
      <alignment horizontal="left"/>
    </xf>
    <xf numFmtId="0" fontId="39" fillId="8" borderId="13" xfId="0" applyFont="1" applyFill="1" applyBorder="1" applyAlignment="1">
      <alignment horizontal="left"/>
    </xf>
    <xf numFmtId="0" fontId="13" fillId="0" borderId="0" xfId="0" applyFont="1" applyAlignment="1">
      <alignment horizontal="left"/>
    </xf>
    <xf numFmtId="0" fontId="18" fillId="8" borderId="0" xfId="0" applyFont="1" applyFill="1" applyAlignment="1">
      <alignment horizontal="left" wrapText="1"/>
    </xf>
    <xf numFmtId="0" fontId="18" fillId="8" borderId="6" xfId="0" applyFont="1" applyFill="1" applyBorder="1" applyAlignment="1">
      <alignment horizontal="left" wrapText="1"/>
    </xf>
    <xf numFmtId="0" fontId="18" fillId="8" borderId="8" xfId="0" applyFont="1" applyFill="1" applyBorder="1" applyAlignment="1">
      <alignment horizontal="left"/>
    </xf>
    <xf numFmtId="0" fontId="18" fillId="8" borderId="9" xfId="0" applyFont="1" applyFill="1" applyBorder="1" applyAlignment="1">
      <alignment horizontal="left"/>
    </xf>
    <xf numFmtId="0" fontId="28" fillId="0" borderId="3" xfId="0" applyFont="1" applyBorder="1" applyAlignment="1">
      <alignment horizontal="left"/>
    </xf>
    <xf numFmtId="0" fontId="28" fillId="0" borderId="4" xfId="0" applyFont="1" applyBorder="1" applyAlignment="1">
      <alignment horizontal="left"/>
    </xf>
    <xf numFmtId="0" fontId="26" fillId="5" borderId="2" xfId="0" applyFont="1" applyFill="1" applyBorder="1" applyAlignment="1">
      <alignment horizontal="center"/>
    </xf>
    <xf numFmtId="0" fontId="26" fillId="5" borderId="4" xfId="0" applyFont="1" applyFill="1" applyBorder="1" applyAlignment="1">
      <alignment horizontal="center"/>
    </xf>
    <xf numFmtId="0" fontId="18" fillId="8" borderId="0" xfId="0" applyFont="1" applyFill="1"/>
    <xf numFmtId="0" fontId="18" fillId="8" borderId="6" xfId="0" applyFont="1" applyFill="1" applyBorder="1"/>
    <xf numFmtId="0" fontId="18" fillId="8" borderId="3" xfId="0" applyFont="1" applyFill="1" applyBorder="1" applyAlignment="1">
      <alignment horizontal="left"/>
    </xf>
    <xf numFmtId="0" fontId="18" fillId="8" borderId="4" xfId="0" applyFont="1" applyFill="1" applyBorder="1" applyAlignment="1">
      <alignment horizontal="left"/>
    </xf>
    <xf numFmtId="0" fontId="18" fillId="8" borderId="0" xfId="0" applyFont="1" applyFill="1" applyAlignment="1">
      <alignment horizontal="left"/>
    </xf>
    <xf numFmtId="0" fontId="18" fillId="8" borderId="6" xfId="0" applyFont="1" applyFill="1" applyBorder="1" applyAlignment="1">
      <alignment horizontal="left"/>
    </xf>
    <xf numFmtId="0" fontId="16" fillId="4" borderId="11" xfId="0" applyFont="1" applyFill="1" applyBorder="1" applyAlignment="1" applyProtection="1">
      <alignment horizontal="left" shrinkToFit="1"/>
      <protection locked="0"/>
    </xf>
    <xf numFmtId="0" fontId="16" fillId="4" borderId="13" xfId="0" applyFont="1" applyFill="1" applyBorder="1" applyAlignment="1" applyProtection="1">
      <alignment horizontal="left" shrinkToFit="1"/>
      <protection locked="0"/>
    </xf>
    <xf numFmtId="0" fontId="24" fillId="0" borderId="1" xfId="0" applyFont="1" applyBorder="1" applyAlignment="1">
      <alignment horizontal="center"/>
    </xf>
    <xf numFmtId="0" fontId="50" fillId="2" borderId="2" xfId="0" applyFont="1" applyFill="1" applyBorder="1" applyAlignment="1">
      <alignment horizontal="center"/>
    </xf>
    <xf numFmtId="0" fontId="50" fillId="2" borderId="4" xfId="0" applyFont="1" applyFill="1" applyBorder="1" applyAlignment="1">
      <alignment horizontal="center"/>
    </xf>
    <xf numFmtId="0" fontId="28" fillId="0" borderId="0" xfId="0" applyFont="1" applyAlignment="1">
      <alignment horizontal="left"/>
    </xf>
    <xf numFmtId="0" fontId="50" fillId="15" borderId="2" xfId="0" applyFont="1" applyFill="1" applyBorder="1" applyAlignment="1">
      <alignment horizontal="center"/>
    </xf>
    <xf numFmtId="0" fontId="50" fillId="15" borderId="4" xfId="0" applyFont="1" applyFill="1" applyBorder="1" applyAlignment="1">
      <alignment horizontal="center"/>
    </xf>
    <xf numFmtId="0" fontId="50" fillId="3" borderId="2" xfId="0" applyFont="1" applyFill="1" applyBorder="1" applyAlignment="1">
      <alignment horizontal="center"/>
    </xf>
    <xf numFmtId="0" fontId="50" fillId="3" borderId="4" xfId="0" applyFont="1" applyFill="1" applyBorder="1" applyAlignment="1">
      <alignment horizontal="center"/>
    </xf>
    <xf numFmtId="0" fontId="61" fillId="19" borderId="2" xfId="0" applyFont="1" applyFill="1" applyBorder="1" applyAlignment="1">
      <alignment horizontal="center"/>
    </xf>
    <xf numFmtId="0" fontId="61" fillId="19" borderId="4" xfId="0" applyFont="1" applyFill="1" applyBorder="1" applyAlignment="1">
      <alignment horizontal="center"/>
    </xf>
    <xf numFmtId="0" fontId="50" fillId="16" borderId="2" xfId="0" applyFont="1" applyFill="1" applyBorder="1" applyAlignment="1">
      <alignment horizontal="center"/>
    </xf>
    <xf numFmtId="0" fontId="50" fillId="16" borderId="4" xfId="0" applyFont="1" applyFill="1" applyBorder="1" applyAlignment="1">
      <alignment horizontal="center"/>
    </xf>
    <xf numFmtId="0" fontId="50" fillId="11" borderId="2" xfId="0" applyFont="1" applyFill="1" applyBorder="1" applyAlignment="1">
      <alignment horizontal="center"/>
    </xf>
    <xf numFmtId="0" fontId="50" fillId="11" borderId="4" xfId="0" applyFont="1" applyFill="1" applyBorder="1" applyAlignment="1">
      <alignment horizontal="center"/>
    </xf>
    <xf numFmtId="0" fontId="50" fillId="12" borderId="2" xfId="0" applyFont="1" applyFill="1" applyBorder="1" applyAlignment="1">
      <alignment horizontal="center"/>
    </xf>
    <xf numFmtId="0" fontId="50" fillId="12" borderId="4" xfId="0" applyFont="1" applyFill="1" applyBorder="1" applyAlignment="1">
      <alignment horizontal="center"/>
    </xf>
    <xf numFmtId="0" fontId="61" fillId="13" borderId="2" xfId="0" applyFont="1" applyFill="1" applyBorder="1" applyAlignment="1">
      <alignment horizontal="center"/>
    </xf>
    <xf numFmtId="0" fontId="61" fillId="13" borderId="4" xfId="0" applyFont="1" applyFill="1" applyBorder="1" applyAlignment="1">
      <alignment horizontal="center"/>
    </xf>
    <xf numFmtId="0" fontId="61" fillId="7" borderId="2" xfId="0" applyFont="1" applyFill="1" applyBorder="1" applyAlignment="1">
      <alignment horizontal="center"/>
    </xf>
    <xf numFmtId="0" fontId="61" fillId="7" borderId="4" xfId="0" applyFont="1" applyFill="1" applyBorder="1" applyAlignment="1">
      <alignment horizontal="center"/>
    </xf>
    <xf numFmtId="0" fontId="49" fillId="6" borderId="12" xfId="0" applyFont="1" applyFill="1" applyBorder="1" applyAlignment="1">
      <alignment horizontal="left"/>
    </xf>
    <xf numFmtId="0" fontId="49" fillId="6" borderId="13" xfId="0" applyFont="1" applyFill="1" applyBorder="1" applyAlignment="1">
      <alignment horizontal="left"/>
    </xf>
    <xf numFmtId="0" fontId="64" fillId="19" borderId="2" xfId="0" applyFont="1" applyFill="1" applyBorder="1" applyAlignment="1">
      <alignment horizontal="center"/>
    </xf>
    <xf numFmtId="0" fontId="64" fillId="19" borderId="4" xfId="0" applyFont="1" applyFill="1" applyBorder="1" applyAlignment="1">
      <alignment horizontal="center"/>
    </xf>
    <xf numFmtId="0" fontId="60" fillId="11" borderId="2" xfId="0" applyFont="1" applyFill="1" applyBorder="1" applyAlignment="1">
      <alignment horizontal="center"/>
    </xf>
    <xf numFmtId="0" fontId="60" fillId="11" borderId="4" xfId="0" applyFont="1" applyFill="1" applyBorder="1" applyAlignment="1">
      <alignment horizontal="center"/>
    </xf>
    <xf numFmtId="0" fontId="60" fillId="14" borderId="2" xfId="0" applyFont="1" applyFill="1" applyBorder="1" applyAlignment="1">
      <alignment horizontal="center"/>
    </xf>
    <xf numFmtId="0" fontId="60" fillId="14" borderId="4" xfId="0" applyFont="1" applyFill="1" applyBorder="1" applyAlignment="1">
      <alignment horizontal="center"/>
    </xf>
    <xf numFmtId="0" fontId="60" fillId="12" borderId="2" xfId="0" applyFont="1" applyFill="1" applyBorder="1" applyAlignment="1">
      <alignment horizontal="center"/>
    </xf>
    <xf numFmtId="0" fontId="60" fillId="12" borderId="4" xfId="0" applyFont="1" applyFill="1" applyBorder="1" applyAlignment="1">
      <alignment horizontal="center"/>
    </xf>
    <xf numFmtId="0" fontId="64" fillId="13" borderId="2" xfId="0" applyFont="1" applyFill="1" applyBorder="1" applyAlignment="1">
      <alignment horizontal="center"/>
    </xf>
    <xf numFmtId="0" fontId="64" fillId="13" borderId="4" xfId="0" applyFont="1" applyFill="1" applyBorder="1" applyAlignment="1">
      <alignment horizontal="center"/>
    </xf>
    <xf numFmtId="0" fontId="64" fillId="7" borderId="2" xfId="0" applyFont="1" applyFill="1" applyBorder="1" applyAlignment="1">
      <alignment horizontal="center"/>
    </xf>
    <xf numFmtId="0" fontId="64" fillId="7" borderId="4" xfId="0" applyFont="1" applyFill="1" applyBorder="1" applyAlignment="1">
      <alignment horizontal="center"/>
    </xf>
    <xf numFmtId="0" fontId="64" fillId="5" borderId="2" xfId="0" applyFont="1" applyFill="1" applyBorder="1" applyAlignment="1">
      <alignment horizontal="center"/>
    </xf>
    <xf numFmtId="0" fontId="64" fillId="5" borderId="4" xfId="0" applyFont="1" applyFill="1" applyBorder="1" applyAlignment="1">
      <alignment horizontal="center"/>
    </xf>
    <xf numFmtId="0" fontId="60" fillId="2" borderId="2" xfId="0" applyFont="1" applyFill="1" applyBorder="1" applyAlignment="1">
      <alignment horizontal="center"/>
    </xf>
    <xf numFmtId="0" fontId="60" fillId="2" borderId="4" xfId="0" applyFont="1" applyFill="1" applyBorder="1" applyAlignment="1">
      <alignment horizontal="center"/>
    </xf>
    <xf numFmtId="0" fontId="60" fillId="10" borderId="2" xfId="0" applyFont="1" applyFill="1" applyBorder="1" applyAlignment="1">
      <alignment horizontal="center"/>
    </xf>
    <xf numFmtId="0" fontId="60" fillId="10" borderId="4" xfId="0" applyFont="1" applyFill="1" applyBorder="1" applyAlignment="1">
      <alignment horizontal="center"/>
    </xf>
    <xf numFmtId="0" fontId="60" fillId="9" borderId="2" xfId="0" applyFont="1" applyFill="1" applyBorder="1" applyAlignment="1">
      <alignment horizontal="center"/>
    </xf>
    <xf numFmtId="0" fontId="60" fillId="9" borderId="4" xfId="0" applyFont="1" applyFill="1" applyBorder="1" applyAlignment="1">
      <alignment horizontal="center"/>
    </xf>
    <xf numFmtId="0" fontId="42" fillId="6" borderId="11" xfId="0" applyFont="1" applyFill="1" applyBorder="1" applyAlignment="1">
      <alignment horizontal="left" vertical="center"/>
    </xf>
    <xf numFmtId="0" fontId="42" fillId="6" borderId="12" xfId="0" applyFont="1" applyFill="1" applyBorder="1" applyAlignment="1">
      <alignment horizontal="left" vertical="center"/>
    </xf>
    <xf numFmtId="0" fontId="42" fillId="6" borderId="13" xfId="0" applyFont="1" applyFill="1" applyBorder="1" applyAlignment="1">
      <alignment horizontal="left" vertical="center"/>
    </xf>
    <xf numFmtId="0" fontId="42" fillId="6" borderId="27" xfId="0" applyFont="1" applyFill="1" applyBorder="1" applyAlignment="1">
      <alignment horizontal="left" vertical="center"/>
    </xf>
    <xf numFmtId="0" fontId="42" fillId="6" borderId="21" xfId="0" applyFont="1" applyFill="1" applyBorder="1" applyAlignment="1">
      <alignment horizontal="left" vertical="center"/>
    </xf>
    <xf numFmtId="0" fontId="42" fillId="6" borderId="28" xfId="0" applyFont="1" applyFill="1" applyBorder="1" applyAlignment="1">
      <alignment horizontal="left" vertical="center"/>
    </xf>
    <xf numFmtId="0" fontId="55" fillId="6" borderId="11" xfId="0" applyFont="1" applyFill="1" applyBorder="1" applyAlignment="1">
      <alignment horizontal="left" vertical="center"/>
    </xf>
    <xf numFmtId="0" fontId="55" fillId="6" borderId="13" xfId="0" applyFont="1" applyFill="1" applyBorder="1" applyAlignment="1">
      <alignment horizontal="left" vertical="center"/>
    </xf>
    <xf numFmtId="0" fontId="42" fillId="18" borderId="11" xfId="0" applyFont="1" applyFill="1" applyBorder="1" applyAlignment="1">
      <alignment horizontal="left"/>
    </xf>
    <xf numFmtId="0" fontId="42" fillId="18" borderId="13" xfId="0" applyFont="1" applyFill="1" applyBorder="1" applyAlignment="1">
      <alignment horizontal="left"/>
    </xf>
    <xf numFmtId="0" fontId="55" fillId="0" borderId="0" xfId="0" applyFont="1" applyAlignment="1">
      <alignment horizontal="left" vertical="center"/>
    </xf>
    <xf numFmtId="0" fontId="40" fillId="6" borderId="11" xfId="0" applyFont="1" applyFill="1" applyBorder="1" applyAlignment="1">
      <alignment horizontal="left" vertical="center"/>
    </xf>
    <xf numFmtId="0" fontId="40" fillId="6" borderId="13" xfId="0" applyFont="1" applyFill="1" applyBorder="1" applyAlignment="1">
      <alignment horizontal="left" vertical="center"/>
    </xf>
    <xf numFmtId="0" fontId="44" fillId="2" borderId="11" xfId="0" applyFont="1" applyFill="1" applyBorder="1" applyAlignment="1">
      <alignment horizontal="left"/>
    </xf>
    <xf numFmtId="0" fontId="44" fillId="2" borderId="12" xfId="0" applyFont="1" applyFill="1" applyBorder="1" applyAlignment="1">
      <alignment horizontal="left"/>
    </xf>
    <xf numFmtId="0" fontId="44" fillId="2" borderId="13" xfId="0" applyFont="1" applyFill="1" applyBorder="1" applyAlignment="1">
      <alignment horizontal="left"/>
    </xf>
    <xf numFmtId="0" fontId="44" fillId="9" borderId="11" xfId="0" applyFont="1" applyFill="1" applyBorder="1" applyAlignment="1">
      <alignment horizontal="left"/>
    </xf>
    <xf numFmtId="0" fontId="44" fillId="9" borderId="12" xfId="0" applyFont="1" applyFill="1" applyBorder="1" applyAlignment="1">
      <alignment horizontal="left"/>
    </xf>
    <xf numFmtId="0" fontId="44" fillId="9" borderId="13" xfId="0" applyFont="1" applyFill="1" applyBorder="1" applyAlignment="1">
      <alignment horizontal="left"/>
    </xf>
    <xf numFmtId="0" fontId="44" fillId="16" borderId="11" xfId="0" applyFont="1" applyFill="1" applyBorder="1" applyAlignment="1">
      <alignment horizontal="left"/>
    </xf>
    <xf numFmtId="0" fontId="44" fillId="16" borderId="12" xfId="0" applyFont="1" applyFill="1" applyBorder="1" applyAlignment="1">
      <alignment horizontal="left"/>
    </xf>
    <xf numFmtId="0" fontId="44" fillId="16" borderId="13" xfId="0" applyFont="1" applyFill="1" applyBorder="1" applyAlignment="1">
      <alignment horizontal="left"/>
    </xf>
    <xf numFmtId="0" fontId="49" fillId="6" borderId="53" xfId="0" applyFont="1" applyFill="1" applyBorder="1" applyAlignment="1">
      <alignment horizontal="center" vertical="center"/>
    </xf>
    <xf numFmtId="0" fontId="49" fillId="6" borderId="54" xfId="0" applyFont="1" applyFill="1" applyBorder="1" applyAlignment="1">
      <alignment horizontal="center" vertical="center"/>
    </xf>
    <xf numFmtId="0" fontId="44" fillId="11" borderId="11" xfId="0" applyFont="1" applyFill="1" applyBorder="1" applyAlignment="1">
      <alignment horizontal="left"/>
    </xf>
    <xf numFmtId="0" fontId="44" fillId="11" borderId="12" xfId="0" applyFont="1" applyFill="1" applyBorder="1" applyAlignment="1">
      <alignment horizontal="left"/>
    </xf>
    <xf numFmtId="0" fontId="44" fillId="11" borderId="13" xfId="0" applyFont="1" applyFill="1" applyBorder="1" applyAlignment="1">
      <alignment horizontal="left"/>
    </xf>
    <xf numFmtId="0" fontId="44" fillId="12" borderId="11" xfId="0" applyFont="1" applyFill="1" applyBorder="1" applyAlignment="1">
      <alignment horizontal="left"/>
    </xf>
    <xf numFmtId="0" fontId="44" fillId="12" borderId="12" xfId="0" applyFont="1" applyFill="1" applyBorder="1" applyAlignment="1">
      <alignment horizontal="left"/>
    </xf>
    <xf numFmtId="0" fontId="44" fillId="12" borderId="13" xfId="0" applyFont="1" applyFill="1" applyBorder="1" applyAlignment="1">
      <alignment horizontal="left"/>
    </xf>
    <xf numFmtId="0" fontId="63" fillId="13" borderId="11" xfId="0" applyFont="1" applyFill="1" applyBorder="1" applyAlignment="1">
      <alignment horizontal="left"/>
    </xf>
    <xf numFmtId="0" fontId="63" fillId="13" borderId="12" xfId="0" applyFont="1" applyFill="1" applyBorder="1" applyAlignment="1">
      <alignment horizontal="left"/>
    </xf>
    <xf numFmtId="0" fontId="63" fillId="13" borderId="13" xfId="0" applyFont="1" applyFill="1" applyBorder="1" applyAlignment="1">
      <alignment horizontal="left"/>
    </xf>
    <xf numFmtId="0" fontId="63" fillId="7" borderId="11" xfId="0" applyFont="1" applyFill="1" applyBorder="1" applyAlignment="1">
      <alignment horizontal="left"/>
    </xf>
    <xf numFmtId="0" fontId="63" fillId="7" borderId="12" xfId="0" applyFont="1" applyFill="1" applyBorder="1" applyAlignment="1">
      <alignment horizontal="left"/>
    </xf>
    <xf numFmtId="0" fontId="63" fillId="7" borderId="13" xfId="0" applyFont="1" applyFill="1" applyBorder="1" applyAlignment="1">
      <alignment horizontal="left"/>
    </xf>
    <xf numFmtId="0" fontId="63" fillId="5" borderId="11" xfId="0" applyFont="1" applyFill="1" applyBorder="1" applyAlignment="1">
      <alignment horizontal="left"/>
    </xf>
    <xf numFmtId="0" fontId="63" fillId="5" borderId="12" xfId="0" applyFont="1" applyFill="1" applyBorder="1" applyAlignment="1">
      <alignment horizontal="left"/>
    </xf>
    <xf numFmtId="0" fontId="63" fillId="5" borderId="13" xfId="0" applyFont="1" applyFill="1" applyBorder="1" applyAlignment="1">
      <alignment horizontal="left"/>
    </xf>
    <xf numFmtId="0" fontId="44" fillId="10" borderId="11" xfId="0" applyFont="1" applyFill="1" applyBorder="1" applyAlignment="1">
      <alignment horizontal="left"/>
    </xf>
    <xf numFmtId="0" fontId="44" fillId="10" borderId="12" xfId="0" applyFont="1" applyFill="1" applyBorder="1" applyAlignment="1">
      <alignment horizontal="left"/>
    </xf>
    <xf numFmtId="0" fontId="44" fillId="10" borderId="13" xfId="0" applyFont="1" applyFill="1" applyBorder="1" applyAlignment="1">
      <alignment horizontal="left"/>
    </xf>
    <xf numFmtId="0" fontId="49" fillId="6" borderId="11" xfId="0" applyFont="1" applyFill="1" applyBorder="1" applyAlignment="1">
      <alignment horizontal="left"/>
    </xf>
    <xf numFmtId="0" fontId="63" fillId="19" borderId="11" xfId="0" applyFont="1" applyFill="1" applyBorder="1" applyAlignment="1">
      <alignment horizontal="left"/>
    </xf>
    <xf numFmtId="0" fontId="63" fillId="19" borderId="12" xfId="0" applyFont="1" applyFill="1" applyBorder="1" applyAlignment="1">
      <alignment horizontal="left"/>
    </xf>
    <xf numFmtId="0" fontId="63" fillId="19" borderId="13" xfId="0" applyFont="1" applyFill="1" applyBorder="1" applyAlignment="1">
      <alignment horizontal="left"/>
    </xf>
  </cellXfs>
  <cellStyles count="17">
    <cellStyle name="百分比" xfId="2" builtinId="5"/>
    <cellStyle name="常规" xfId="0" builtinId="0"/>
    <cellStyle name="超链接" xfId="4" builtinId="8"/>
    <cellStyle name="货币" xfId="1" builtinId="4"/>
    <cellStyle name="千位分隔" xfId="3" builtinId="3"/>
    <cellStyle name="已访问的超链接" xfId="5" builtinId="9" hidden="1"/>
    <cellStyle name="已访问的超链接" xfId="6" builtinId="9" hidden="1"/>
    <cellStyle name="已访问的超链接" xfId="7" builtinId="9" hidden="1"/>
    <cellStyle name="已访问的超链接" xfId="8" builtinId="9" hidden="1"/>
    <cellStyle name="已访问的超链接" xfId="9" builtinId="9" hidden="1"/>
    <cellStyle name="已访问的超链接" xfId="10" builtinId="9" hidden="1"/>
    <cellStyle name="已访问的超链接" xfId="11" builtinId="9" hidden="1"/>
    <cellStyle name="已访问的超链接" xfId="12" builtinId="9" hidden="1"/>
    <cellStyle name="已访问的超链接" xfId="13" builtinId="9" hidden="1"/>
    <cellStyle name="已访问的超链接" xfId="14" builtinId="9" hidden="1"/>
    <cellStyle name="已访问的超链接" xfId="15" builtinId="9" hidden="1"/>
    <cellStyle name="已访问的超链接" xfId="16" builtinId="9" hidden="1"/>
  </cellStyles>
  <dxfs count="0"/>
  <tableStyles count="0" defaultTableStyle="TableStyleMedium9" defaultPivotStyle="PivotStyleLight16"/>
  <colors>
    <mruColors>
      <color rgb="FFC981BA"/>
      <color rgb="FFFF00FF"/>
      <color rgb="FFFF99FF"/>
      <color rgb="FF99CC00"/>
      <color rgb="FFFFFF99"/>
      <color rgb="FFFFFFCC"/>
      <color rgb="FF990099"/>
      <color rgb="FF996633"/>
      <color rgb="FF7EC23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282575</xdr:colOff>
      <xdr:row>22</xdr:row>
      <xdr:rowOff>76200</xdr:rowOff>
    </xdr:from>
    <xdr:to>
      <xdr:col>14</xdr:col>
      <xdr:colOff>444500</xdr:colOff>
      <xdr:row>28</xdr:row>
      <xdr:rowOff>0</xdr:rowOff>
    </xdr:to>
    <xdr:sp macro="" textlink="">
      <xdr:nvSpPr>
        <xdr:cNvPr id="6" name="TextBox 1">
          <a:extLst>
            <a:ext uri="{FF2B5EF4-FFF2-40B4-BE49-F238E27FC236}">
              <a16:creationId xmlns:a16="http://schemas.microsoft.com/office/drawing/2014/main" id="{1EB65690-2312-5D45-9C87-28DE03A91094}"/>
            </a:ext>
          </a:extLst>
        </xdr:cNvPr>
        <xdr:cNvSpPr txBox="1"/>
      </xdr:nvSpPr>
      <xdr:spPr>
        <a:xfrm>
          <a:off x="282575" y="10744200"/>
          <a:ext cx="9585325" cy="15494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solidFill>
                <a:sysClr val="windowText" lastClr="000000"/>
              </a:solidFill>
              <a:effectLst/>
              <a:latin typeface="+mn-ea"/>
              <a:ea typeface="+mn-ea"/>
            </a:rPr>
            <a:t>This material is based upon work supported by USDA/NIFA under Award Number 2021-70027-34693</a:t>
          </a:r>
          <a:endParaRPr lang="en-US" sz="1600" b="0" baseline="0">
            <a:solidFill>
              <a:sysClr val="windowText" lastClr="000000"/>
            </a:solidFill>
            <a:effectLst/>
            <a:latin typeface="+mn-ea"/>
            <a:ea typeface="+mn-ea"/>
          </a:endParaRPr>
        </a:p>
      </xdr:txBody>
    </xdr:sp>
    <xdr:clientData/>
  </xdr:twoCellAnchor>
  <xdr:twoCellAnchor>
    <xdr:from>
      <xdr:col>0</xdr:col>
      <xdr:colOff>282575</xdr:colOff>
      <xdr:row>0</xdr:row>
      <xdr:rowOff>177007</xdr:rowOff>
    </xdr:from>
    <xdr:to>
      <xdr:col>14</xdr:col>
      <xdr:colOff>444500</xdr:colOff>
      <xdr:row>21</xdr:row>
      <xdr:rowOff>165100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2575" y="177007"/>
          <a:ext cx="9585325" cy="1046559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solidFill>
                <a:sysClr val="windowText" lastClr="000000"/>
              </a:solidFill>
              <a:effectLst/>
              <a:latin typeface="+mn-ea"/>
              <a:ea typeface="+mn-ea"/>
            </a:rPr>
            <a:t>Welcome to the Cornell Cooperative Extension </a:t>
          </a:r>
          <a:r>
            <a:rPr lang="en-US" sz="1600" b="0" u="none" baseline="0">
              <a:solidFill>
                <a:sysClr val="windowText" lastClr="000000"/>
              </a:solidFill>
              <a:effectLst/>
              <a:latin typeface="+mn-ea"/>
              <a:ea typeface="+mn-ea"/>
            </a:rPr>
            <a:t>Cut Flower Profitability Calculator!  </a:t>
          </a: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After entering data about your farm expenses, projected sales, labor and field production expenses, this tool will calculate the profitability of the cut flowers that you grow. This closer look at your cut flowers will help you make decisions about what to grow, how much to grow and at what prices to sell your farm products.  </a:t>
          </a: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To complete the calculator, enter data on each of the worksheets. You can see the labeled tabs of these worksheets along the very bottom of the screen. You will enter data only into yellow colored cells. All calculations are automatic.</a:t>
          </a:r>
        </a:p>
        <a:p>
          <a:endParaRPr lang="en-US" sz="1600" b="0" u="sng" baseline="0">
            <a:solidFill>
              <a:sysClr val="windowText" lastClr="000000"/>
            </a:solidFill>
            <a:effectLst/>
            <a:latin typeface="+mn-ea"/>
            <a:ea typeface="+mn-ea"/>
          </a:endParaRPr>
        </a:p>
        <a:p>
          <a:r>
            <a:rPr lang="en-US" sz="1600" b="0" u="sng" baseline="0">
              <a:solidFill>
                <a:sysClr val="windowText" lastClr="000000"/>
              </a:solidFill>
              <a:effectLst/>
              <a:latin typeface="+mn-ea"/>
              <a:ea typeface="+mn-ea"/>
            </a:rPr>
            <a:t>Data should be entered in each sheet starting with the BLUE tabs</a:t>
          </a:r>
          <a:r>
            <a:rPr lang="en-US" sz="1600" b="0" baseline="0">
              <a:solidFill>
                <a:sysClr val="windowText" lastClr="000000"/>
              </a:solidFill>
              <a:effectLst/>
              <a:latin typeface="+mn-ea"/>
              <a:ea typeface="+mn-ea"/>
            </a:rPr>
            <a:t>: "Describe Your Farm" "Labor Overheads," "Cash Overheads," and "Depreciation Overheads."  This information applies to your entire farm and will only be entered once.</a:t>
          </a: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Begin to enter crop sales and production data starting with the RED tab, "Cut Flower 1."  Proceed to "Project Income," "Project Yield," "Direct Labor Cost," and "Direct Material Cost."  You will enter specific data for each cut flower you grow, though data entry for cut flower 2-10 is simplified on one sheet (colorful tabs). You can enter data for as few as one cut flower and as many as 10. If you grow more than 10 cut flowers, we recommend you group like items together. </a:t>
          </a:r>
          <a:r>
            <a:rPr lang="en-US" sz="1600" b="0" baseline="0">
              <a:solidFill>
                <a:sysClr val="windowText" lastClr="000000"/>
              </a:solidFill>
              <a:effectLst/>
              <a:latin typeface="+mn-ea"/>
              <a:ea typeface="+mn-ea"/>
              <a:cs typeface="+mn-cs"/>
            </a:rPr>
            <a:t>To achieve the most accurate results, you will need to enter the most accurate data.</a:t>
          </a:r>
          <a:endParaRPr lang="en-US" sz="1600" b="0">
            <a:solidFill>
              <a:sysClr val="windowText" lastClr="000000"/>
            </a:solidFill>
            <a:effectLst/>
            <a:latin typeface="+mn-ea"/>
            <a:ea typeface="+mn-ea"/>
          </a:endParaRP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Once data has been entered on all of the applicable sheets, view the YELLOW assessment sheets to see the results of the calculator. The first, "All Cut Flowers Assessment," is a summary of each crop you have entered. Use this sheet to compare your crops and identify those which are performing best and worst.</a:t>
          </a: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"Busness Analysis" presents the profitability of your cut flower business and of your farm as a whole. You will be able to find out your annual cash flow, the number of years you can recover your initial investment in capital purchase, and the investment rate of return etc. Under this tab, there is also an "Overhead Allocations" section that shows the details of how this Crop Profitability Calculator distributes the overhead (or "fixed") costs of your farm across all of your crops. Each crop needs to contribute! If you have income from other farm enterprises like viggies, orchard, or livestock NOT entered in this calculator, it is important to enter that data on the "Describe Your Farm" page so that this allocation is accurate (those other enterprises must contribute to overhead costs as well.)</a:t>
          </a:r>
        </a:p>
        <a:p>
          <a:endParaRPr lang="en-US" sz="1600" b="0" baseline="0">
            <a:solidFill>
              <a:srgbClr val="FF0000"/>
            </a:solidFill>
            <a:effectLst/>
            <a:latin typeface="+mn-ea"/>
            <a:ea typeface="+mn-ea"/>
          </a:endParaRPr>
        </a:p>
        <a:p>
          <a:r>
            <a:rPr lang="en-US" sz="1600" b="0" baseline="0">
              <a:solidFill>
                <a:sysClr val="windowText" lastClr="000000"/>
              </a:solidFill>
              <a:effectLst/>
              <a:latin typeface="+mn-ea"/>
              <a:ea typeface="+mn-ea"/>
            </a:rPr>
            <a:t>The final assessment sheet is the "Scenarios Tool." This tool allows you to enter in various production and pricing scenarios. This is where all of the data and analysis turns into action! The goal is to pay your overhead expenses and earn a profit!  What does it look like if you only grow your best performing crops? How much can you scale up your production to cover your costs and make a profit?  </a:t>
          </a:r>
        </a:p>
        <a:p>
          <a:endParaRPr lang="en-US" sz="1600" b="0" baseline="0">
            <a:solidFill>
              <a:sysClr val="windowText" lastClr="000000"/>
            </a:solidFill>
            <a:effectLst/>
            <a:latin typeface="+mn-ea"/>
            <a:ea typeface="+mn-ea"/>
          </a:endParaRPr>
        </a:p>
        <a:p>
          <a:r>
            <a:rPr lang="en-US" sz="1600" b="0" baseline="0">
              <a:solidFill>
                <a:sysClr val="windowText" lastClr="000000"/>
              </a:solidFill>
              <a:effectLst/>
              <a:latin typeface="+mn-ea"/>
              <a:ea typeface="+mn-ea"/>
            </a:rPr>
            <a:t>Please remember that this tool is only as accurate as the data entered into it and makes certain assumptions about farm production. We hope that it helps you to make the best decisions possible on your farm to build financially sustainable business!</a:t>
          </a:r>
        </a:p>
      </xdr:txBody>
    </xdr:sp>
    <xdr:clientData/>
  </xdr:twoCellAnchor>
  <xdr:twoCellAnchor editAs="oneCell">
    <xdr:from>
      <xdr:col>0</xdr:col>
      <xdr:colOff>419100</xdr:colOff>
      <xdr:row>22</xdr:row>
      <xdr:rowOff>558800</xdr:rowOff>
    </xdr:from>
    <xdr:to>
      <xdr:col>3</xdr:col>
      <xdr:colOff>622610</xdr:colOff>
      <xdr:row>26</xdr:row>
      <xdr:rowOff>76200</xdr:rowOff>
    </xdr:to>
    <xdr:pic>
      <xdr:nvPicPr>
        <xdr:cNvPr id="4" name="图片 3">
          <a:extLst>
            <a:ext uri="{FF2B5EF4-FFF2-40B4-BE49-F238E27FC236}">
              <a16:creationId xmlns:a16="http://schemas.microsoft.com/office/drawing/2014/main" id="{941F56E9-F52B-9794-E087-03C69E0917B1}"/>
            </a:ext>
          </a:extLst>
        </xdr:cNvPr>
        <xdr:cNvPicPr>
          <a:picLocks noChangeAspect="1"/>
        </xdr:cNvPicPr>
      </xdr:nvPicPr>
      <xdr:blipFill>
        <a:blip xmlns:r="http://schemas.openxmlformats.org/officeDocument/2006/relationships" r:embed="rId1"/>
        <a:stretch>
          <a:fillRect/>
        </a:stretch>
      </xdr:blipFill>
      <xdr:spPr>
        <a:xfrm>
          <a:off x="419100" y="11226800"/>
          <a:ext cx="2222810" cy="762000"/>
        </a:xfrm>
        <a:prstGeom prst="rect">
          <a:avLst/>
        </a:prstGeom>
      </xdr:spPr>
    </xdr:pic>
    <xdr:clientData/>
  </xdr:twoCellAnchor>
  <xdr:twoCellAnchor editAs="oneCell">
    <xdr:from>
      <xdr:col>3</xdr:col>
      <xdr:colOff>609601</xdr:colOff>
      <xdr:row>22</xdr:row>
      <xdr:rowOff>469900</xdr:rowOff>
    </xdr:from>
    <xdr:to>
      <xdr:col>5</xdr:col>
      <xdr:colOff>457201</xdr:colOff>
      <xdr:row>26</xdr:row>
      <xdr:rowOff>120650</xdr:rowOff>
    </xdr:to>
    <xdr:pic>
      <xdr:nvPicPr>
        <xdr:cNvPr id="5" name="图片 4">
          <a:extLst>
            <a:ext uri="{FF2B5EF4-FFF2-40B4-BE49-F238E27FC236}">
              <a16:creationId xmlns:a16="http://schemas.microsoft.com/office/drawing/2014/main" id="{EBB52B9B-060F-4547-AE87-96FED1938E15}"/>
            </a:ext>
          </a:extLst>
        </xdr:cNvPr>
        <xdr:cNvPicPr>
          <a:picLocks noChangeAspect="1"/>
        </xdr:cNvPicPr>
      </xdr:nvPicPr>
      <xdr:blipFill>
        <a:blip xmlns:r="http://schemas.openxmlformats.org/officeDocument/2006/relationships" r:embed="rId2"/>
        <a:stretch>
          <a:fillRect/>
        </a:stretch>
      </xdr:blipFill>
      <xdr:spPr>
        <a:xfrm>
          <a:off x="2628901" y="11137900"/>
          <a:ext cx="1193800" cy="895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330199</xdr:colOff>
      <xdr:row>2</xdr:row>
      <xdr:rowOff>60249</xdr:rowOff>
    </xdr:from>
    <xdr:to>
      <xdr:col>8</xdr:col>
      <xdr:colOff>1156164</xdr:colOff>
      <xdr:row>6</xdr:row>
      <xdr:rowOff>190500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30199" y="707949"/>
          <a:ext cx="12128965" cy="1044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u="none" strike="noStrike">
              <a:solidFill>
                <a:schemeClr val="dk1"/>
              </a:solidFill>
              <a:effectLst/>
              <a:latin typeface="+mn-lt"/>
              <a:ea typeface="+mn-ea"/>
              <a:cs typeface="+mn-cs"/>
            </a:rPr>
            <a:t>In addition to labor, direct costs of production also take into account the materials that you use to grow the cut</a:t>
          </a:r>
          <a:r>
            <a:rPr lang="en-US" sz="1200" b="0" i="0" u="none" strike="noStrike" baseline="0">
              <a:solidFill>
                <a:schemeClr val="dk1"/>
              </a:solidFill>
              <a:effectLst/>
              <a:latin typeface="+mn-lt"/>
              <a:ea typeface="+mn-ea"/>
              <a:cs typeface="+mn-cs"/>
            </a:rPr>
            <a:t> flower</a:t>
          </a:r>
          <a:r>
            <a:rPr lang="en-US" sz="1200" b="0" i="0" u="none" strike="noStrike">
              <a:solidFill>
                <a:schemeClr val="dk1"/>
              </a:solidFill>
              <a:effectLst/>
              <a:latin typeface="+mn-lt"/>
              <a:ea typeface="+mn-ea"/>
              <a:cs typeface="+mn-cs"/>
            </a:rPr>
            <a:t>. These include plant material, pesticides, fertilizers,</a:t>
          </a:r>
          <a:r>
            <a:rPr lang="en-US" sz="1200" b="0" i="0" u="none" strike="noStrike" baseline="0">
              <a:solidFill>
                <a:schemeClr val="dk1"/>
              </a:solidFill>
              <a:effectLst/>
              <a:latin typeface="+mn-lt"/>
              <a:ea typeface="+mn-ea"/>
              <a:cs typeface="+mn-cs"/>
            </a:rPr>
            <a:t> etc.</a:t>
          </a:r>
          <a:endParaRPr lang="en-US"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b="1" i="0" u="none" strike="noStrike">
              <a:solidFill>
                <a:schemeClr val="dk1"/>
              </a:solidFill>
              <a:effectLst/>
              <a:latin typeface="+mn-lt"/>
              <a:ea typeface="+mn-ea"/>
              <a:cs typeface="+mn-cs"/>
            </a:rPr>
            <a:t>Plant material:</a:t>
          </a:r>
          <a:r>
            <a:rPr lang="en-US" altLang="zh-CN" sz="1200" b="0" i="0" u="none" strike="noStrike">
              <a:solidFill>
                <a:schemeClr val="dk1"/>
              </a:solidFill>
              <a:effectLst/>
              <a:latin typeface="+mn-lt"/>
              <a:ea typeface="+mn-ea"/>
              <a:cs typeface="+mn-cs"/>
            </a:rPr>
            <a:t> You may use one or several types of plant material for this</a:t>
          </a:r>
          <a:r>
            <a:rPr lang="en-US" altLang="zh-CN" sz="1200" b="0" i="0" u="none" strike="noStrike" baseline="0">
              <a:solidFill>
                <a:schemeClr val="dk1"/>
              </a:solidFill>
              <a:effectLst/>
              <a:latin typeface="+mn-lt"/>
              <a:ea typeface="+mn-ea"/>
              <a:cs typeface="+mn-cs"/>
            </a:rPr>
            <a:t> cut flower</a:t>
          </a:r>
          <a:r>
            <a:rPr lang="en-US" altLang="zh-CN" sz="1200" b="0" i="1" u="none" strike="noStrike">
              <a:solidFill>
                <a:schemeClr val="dk1"/>
              </a:solidFill>
              <a:effectLst/>
              <a:latin typeface="+mn-lt"/>
              <a:ea typeface="+mn-ea"/>
              <a:cs typeface="+mn-cs"/>
            </a:rPr>
            <a:t>. Enter the </a:t>
          </a:r>
          <a:r>
            <a:rPr lang="en-US" altLang="zh-CN" sz="1200" b="1" i="1" u="none" strike="noStrike">
              <a:solidFill>
                <a:schemeClr val="dk1"/>
              </a:solidFill>
              <a:effectLst/>
              <a:latin typeface="+mn-lt"/>
              <a:ea typeface="+mn-ea"/>
              <a:cs typeface="+mn-cs"/>
            </a:rPr>
            <a:t>entire amount </a:t>
          </a:r>
          <a:r>
            <a:rPr lang="en-US" altLang="zh-CN" sz="1200" b="0" i="1" u="none" strike="noStrike">
              <a:solidFill>
                <a:schemeClr val="dk1"/>
              </a:solidFill>
              <a:effectLst/>
              <a:latin typeface="+mn-lt"/>
              <a:ea typeface="+mn-ea"/>
              <a:cs typeface="+mn-cs"/>
            </a:rPr>
            <a:t>of plant material that you purchase for this</a:t>
          </a:r>
          <a:r>
            <a:rPr lang="en-US" altLang="zh-CN" sz="1200" b="0" i="1" u="none" strike="noStrike" baseline="0">
              <a:solidFill>
                <a:schemeClr val="dk1"/>
              </a:solidFill>
              <a:effectLst/>
              <a:latin typeface="+mn-lt"/>
              <a:ea typeface="+mn-ea"/>
              <a:cs typeface="+mn-cs"/>
            </a:rPr>
            <a:t> cut flower.</a:t>
          </a:r>
          <a:endParaRPr lang="en-US" sz="1200" b="0"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Pesticide/</a:t>
          </a:r>
          <a:r>
            <a:rPr lang="en-US" sz="1200" b="1" i="0" u="none" strike="noStrike" baseline="0">
              <a:solidFill>
                <a:schemeClr val="dk1"/>
              </a:solidFill>
              <a:effectLst/>
              <a:latin typeface="+mn-lt"/>
              <a:ea typeface="+mn-ea"/>
              <a:cs typeface="+mn-cs"/>
            </a:rPr>
            <a:t>Fertilizer/Other Materials:</a:t>
          </a:r>
          <a:r>
            <a:rPr lang="en-US" sz="1200" b="0" i="0" u="none" strike="noStrike" baseline="0">
              <a:solidFill>
                <a:schemeClr val="dk1"/>
              </a:solidFill>
              <a:effectLst/>
              <a:latin typeface="+mn-lt"/>
              <a:ea typeface="+mn-ea"/>
              <a:cs typeface="+mn-cs"/>
            </a:rPr>
            <a:t> Intead of total quantity, enter the quantity you use </a:t>
          </a:r>
          <a:r>
            <a:rPr lang="en-US" sz="1200" b="1" i="0" u="none" strike="noStrike" baseline="0">
              <a:solidFill>
                <a:schemeClr val="dk1"/>
              </a:solidFill>
              <a:effectLst/>
              <a:latin typeface="+mn-lt"/>
              <a:ea typeface="+mn-ea"/>
              <a:cs typeface="+mn-cs"/>
            </a:rPr>
            <a:t>per bed</a:t>
          </a:r>
          <a:r>
            <a:rPr lang="en-US" sz="1200" b="0" i="0" u="none" strike="noStrike" baseline="0">
              <a:solidFill>
                <a:schemeClr val="dk1"/>
              </a:solidFill>
              <a:effectLst/>
              <a:latin typeface="+mn-lt"/>
              <a:ea typeface="+mn-ea"/>
              <a:cs typeface="+mn-cs"/>
            </a:rPr>
            <a:t>, the unit of measurement, and the cost per unit.</a:t>
          </a:r>
          <a:endParaRPr lang="en-US" sz="1200" b="1" i="0" u="none" strike="noStrike" baseline="0">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Post-Harvest Direct Costs</a:t>
          </a:r>
          <a:r>
            <a:rPr lang="en-US" sz="1200" b="0" i="0" u="none" strike="noStrike">
              <a:solidFill>
                <a:schemeClr val="dk1"/>
              </a:solidFill>
              <a:effectLst/>
              <a:latin typeface="+mn-lt"/>
              <a:ea typeface="+mn-ea"/>
              <a:cs typeface="+mn-cs"/>
            </a:rPr>
            <a:t>: These are post-harvest costs that increase or decrease based on number of units produced and sold. Overhead costs like your marketing cost are accounted on another sheet.</a:t>
          </a:r>
          <a:endParaRPr lang="en-US" sz="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147493</xdr:colOff>
      <xdr:row>35</xdr:row>
      <xdr:rowOff>56551</xdr:rowOff>
    </xdr:from>
    <xdr:to>
      <xdr:col>5</xdr:col>
      <xdr:colOff>444500</xdr:colOff>
      <xdr:row>40</xdr:row>
      <xdr:rowOff>152400</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47493" y="6711351"/>
          <a:ext cx="10736407" cy="1238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Each</a:t>
          </a:r>
          <a:r>
            <a:rPr lang="en-US" sz="1200" baseline="0"/>
            <a:t> farm product that you produce must contribute to overhead costs. There are many ways to allocate these fixed costs. In this calculator, we first allocate a certain amount of overheads to cut flowers based on </a:t>
          </a:r>
          <a:r>
            <a:rPr lang="en-US" sz="1200" b="1" baseline="0"/>
            <a:t>a percentage of total annual farm sales</a:t>
          </a:r>
          <a:r>
            <a:rPr lang="en-US" sz="1200" baseline="0"/>
            <a:t>. If you have other farm enterprises like livestock and orchard sales, they will need to contribute to overhead costs as well. We then spread the overhead allocated to cut flowers across each cut flower that you have entered into this workbook. To do this, we look at the </a:t>
          </a:r>
          <a:r>
            <a:rPr lang="en-US" sz="1200" b="1" baseline="0"/>
            <a:t>direct cost of producing that specific crop as a percentage </a:t>
          </a:r>
          <a:r>
            <a:rPr lang="en-US" sz="1200" baseline="0"/>
            <a:t>of total direct crop expenses.  That same percentage is then applied to the overheads allocated to cut flowers to come up with each cut flower's contribution towards these expenses.  As you will see, cut flowers that are more expensive to produce will pay for more overhead costs.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171450</xdr:colOff>
      <xdr:row>3</xdr:row>
      <xdr:rowOff>38101</xdr:rowOff>
    </xdr:from>
    <xdr:to>
      <xdr:col>5</xdr:col>
      <xdr:colOff>19050</xdr:colOff>
      <xdr:row>8</xdr:row>
      <xdr:rowOff>190500</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71450" y="736601"/>
          <a:ext cx="6883400" cy="1295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mn-lt"/>
              <a:ea typeface="+mn-ea"/>
              <a:cs typeface="+mn-cs"/>
            </a:rPr>
            <a:t>Use this calculator to look at different production and pricing scenarios. "Current" shows the information you have already entered throughout this workbook. Remember, you are looking for a Profit Margin (</a:t>
          </a:r>
          <a:r>
            <a:rPr lang="en-US" sz="1200" b="0" i="1" u="none" strike="noStrike">
              <a:solidFill>
                <a:schemeClr val="accent4">
                  <a:lumMod val="75000"/>
                </a:schemeClr>
              </a:solidFill>
              <a:effectLst/>
              <a:latin typeface="+mn-lt"/>
              <a:ea typeface="+mn-ea"/>
              <a:cs typeface="+mn-cs"/>
            </a:rPr>
            <a:t>aka Gross Margin Ratio</a:t>
          </a:r>
          <a:r>
            <a:rPr lang="en-US" sz="1200" b="0" i="0" u="none" strike="noStrike">
              <a:solidFill>
                <a:schemeClr val="dk1"/>
              </a:solidFill>
              <a:effectLst/>
              <a:latin typeface="+mn-lt"/>
              <a:ea typeface="+mn-ea"/>
              <a:cs typeface="+mn-cs"/>
            </a:rPr>
            <a:t>) of 70% or higher, meaning that $0.70 of every dollar earned</a:t>
          </a:r>
          <a:r>
            <a:rPr lang="en-US" sz="1200" b="0" i="0" u="none" strike="noStrike" baseline="0">
              <a:solidFill>
                <a:schemeClr val="dk1"/>
              </a:solidFill>
              <a:effectLst/>
              <a:latin typeface="+mn-lt"/>
              <a:ea typeface="+mn-ea"/>
              <a:cs typeface="+mn-cs"/>
            </a:rPr>
            <a:t> by</a:t>
          </a:r>
          <a:r>
            <a:rPr lang="en-US" sz="1200" b="0" i="0">
              <a:solidFill>
                <a:schemeClr val="dk1"/>
              </a:solidFill>
              <a:effectLst/>
              <a:latin typeface="+mn-lt"/>
              <a:ea typeface="+mn-ea"/>
              <a:cs typeface="+mn-cs"/>
            </a:rPr>
            <a:t> a crop is available to cover overhead costs and profit. Using "Scenario A" and "Scenerio B", you</a:t>
          </a:r>
          <a:r>
            <a:rPr lang="en-US" sz="1200" b="0" i="0" baseline="0">
              <a:solidFill>
                <a:schemeClr val="dk1"/>
              </a:solidFill>
              <a:effectLst/>
              <a:latin typeface="+mn-lt"/>
              <a:ea typeface="+mn-ea"/>
              <a:cs typeface="+mn-cs"/>
            </a:rPr>
            <a:t> can allocate different a land size to each cut flower and try with different average sales price to see how they will affect the profit margin of each crop, and the profitability of your farm as a whole.</a:t>
          </a:r>
          <a:endParaRPr lang="en-US" sz="12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177799</xdr:colOff>
      <xdr:row>2</xdr:row>
      <xdr:rowOff>104776</xdr:rowOff>
    </xdr:from>
    <xdr:to>
      <xdr:col>8</xdr:col>
      <xdr:colOff>314325</xdr:colOff>
      <xdr:row>6</xdr:row>
      <xdr:rowOff>63500</xdr:rowOff>
    </xdr:to>
    <xdr:sp macro="" textlink="">
      <xdr:nvSpPr>
        <xdr:cNvPr id="2" name="TextBox 1">
          <a:extLst>
            <a:ext uri="{FF2B5EF4-FFF2-40B4-BE49-F238E27FC236}">
              <a16:creationId xmlns:a16="http://schemas.microsoft.com/office/drawing/2014/main" id="{8797763C-6211-BD48-A33C-12DAB00C3AE3}"/>
            </a:ext>
          </a:extLst>
        </xdr:cNvPr>
        <xdr:cNvSpPr txBox="1"/>
      </xdr:nvSpPr>
      <xdr:spPr>
        <a:xfrm>
          <a:off x="177799" y="549276"/>
          <a:ext cx="11147426" cy="873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Annual Sales:  </a:t>
          </a:r>
          <a:r>
            <a:rPr lang="en-US" sz="1200" b="0"/>
            <a:t>What are your target total sales for the year?  This number will be used to help allocate overhead costs to the different enterprises of your business. Total fam sales should reflect income from all farm products.</a:t>
          </a:r>
        </a:p>
        <a:p>
          <a:r>
            <a:rPr lang="en-US" sz="1200" b="1"/>
            <a:t>Debt Borrowing: </a:t>
          </a:r>
          <a:r>
            <a:rPr lang="en-US" sz="1200" b="0"/>
            <a:t>Do</a:t>
          </a:r>
          <a:r>
            <a:rPr lang="en-US" sz="1200" b="0" baseline="0"/>
            <a:t> you make any long-term loans to fund your capital expenditure such as buying tractors? Do you have any short-term operation loans? Total interest expense will be subtracted from operating income (Note: operating income is the amount of money left after direct expenses and overhead costs are paid).</a:t>
          </a:r>
          <a:endParaRPr lang="en-US" sz="12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2</xdr:row>
      <xdr:rowOff>79375</xdr:rowOff>
    </xdr:from>
    <xdr:to>
      <xdr:col>7</xdr:col>
      <xdr:colOff>527050</xdr:colOff>
      <xdr:row>6</xdr:row>
      <xdr:rowOff>50800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925" y="549275"/>
          <a:ext cx="12684125" cy="8858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a:t>
          </a:r>
          <a:r>
            <a:rPr lang="en-US" sz="1200" baseline="0"/>
            <a:t> specifics of labor will help us to determine the costs of producing your crops. This calculator looks at farm labor in two ways: as an overhead cost that cannot be tied to a specific farm task, and as a direct cost when labor can be specifically attributed to a job on the farm. To make sure that we don't count labor twice, we total up all of the time that you will enter throughout this calculator and subtract it from the owner salary and employee wage that you enter on this page (The annual salary and beneifts counts for all duties of labor and management. For more information, refer to the factsheet). Use the labor calculators to help determine owner and employee salary, wages and hourly rates.  </a:t>
          </a:r>
          <a:endParaRPr 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146202</xdr:colOff>
      <xdr:row>2</xdr:row>
      <xdr:rowOff>121707</xdr:rowOff>
    </xdr:from>
    <xdr:to>
      <xdr:col>6</xdr:col>
      <xdr:colOff>236682</xdr:colOff>
      <xdr:row>6</xdr:row>
      <xdr:rowOff>38100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46202" y="566207"/>
          <a:ext cx="12257080" cy="678393"/>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Cash overheads are those that you have to pay for on a yearly basis. </a:t>
          </a:r>
          <a:r>
            <a:rPr lang="en-US" sz="1200"/>
            <a:t>Every operation</a:t>
          </a:r>
          <a:r>
            <a:rPr lang="en-US" sz="1200" baseline="0"/>
            <a:t> has cash overhead costs, ranging from advertising to equipment repairs. Below, you will find a comprehensive list of cash overhead costs for a typical farm operation. Enter how much they cost for your operation. A printed copy of a profit/loss financials sheet is great starting place. If you don't spend money on a particular overhead, then simply enter "0".  If you have items that are not listed, enter those amounts in the last row - "Other Cash Overhead Expenses".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165102</xdr:colOff>
      <xdr:row>2</xdr:row>
      <xdr:rowOff>98669</xdr:rowOff>
    </xdr:from>
    <xdr:to>
      <xdr:col>6</xdr:col>
      <xdr:colOff>1350434</xdr:colOff>
      <xdr:row>10</xdr:row>
      <xdr:rowOff>38100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65102" y="568569"/>
          <a:ext cx="13174132" cy="1768231"/>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Non-cash overheads are those that you don't have to pay for on a yearly basis - these are capital expenses, or otherwise one-time purchases. </a:t>
          </a:r>
          <a:r>
            <a:rPr lang="en-US" sz="1200">
              <a:solidFill>
                <a:schemeClr val="dk1"/>
              </a:solidFill>
              <a:latin typeface="+mn-lt"/>
              <a:ea typeface="+mn-ea"/>
              <a:cs typeface="+mn-cs"/>
            </a:rPr>
            <a:t>Every operation</a:t>
          </a:r>
          <a:r>
            <a:rPr lang="en-US" sz="1200" baseline="0">
              <a:solidFill>
                <a:schemeClr val="dk1"/>
              </a:solidFill>
              <a:latin typeface="+mn-lt"/>
              <a:ea typeface="+mn-ea"/>
              <a:cs typeface="+mn-cs"/>
            </a:rPr>
            <a:t> has non-cash overhead costs, ranging from land to tractor implements. They are generally items that cost more than $250 and last longer than 2 years. Below, you will find a comprehensive list of non-cash overhead costs for a typical farm operation. Enter how much they cost for your operation. </a:t>
          </a:r>
          <a:r>
            <a:rPr lang="en-US" altLang="zh-CN" sz="1200" baseline="0">
              <a:solidFill>
                <a:schemeClr val="dk1"/>
              </a:solidFill>
              <a:latin typeface="+mn-lt"/>
              <a:ea typeface="+mn-ea"/>
              <a:cs typeface="+mn-cs"/>
            </a:rPr>
            <a:t>If you have made other capital purchases that aren't listed, be sure to enter them under "Other Capital Expenses".  </a:t>
          </a:r>
          <a:endParaRPr lang="en-US" sz="1200" baseline="0">
            <a:solidFill>
              <a:schemeClr val="dk1"/>
            </a:solidFill>
            <a:latin typeface="+mn-lt"/>
            <a:ea typeface="+mn-ea"/>
            <a:cs typeface="+mn-cs"/>
          </a:endParaRPr>
        </a:p>
        <a:p>
          <a:r>
            <a:rPr lang="en-US" sz="1200" b="1" baseline="0">
              <a:solidFill>
                <a:schemeClr val="dk1"/>
              </a:solidFill>
              <a:latin typeface="+mn-lt"/>
              <a:ea typeface="+mn-ea"/>
              <a:cs typeface="+mn-cs"/>
            </a:rPr>
            <a:t>Useful Life Span</a:t>
          </a:r>
          <a:r>
            <a:rPr lang="en-US" sz="1200" baseline="0">
              <a:solidFill>
                <a:schemeClr val="dk1"/>
              </a:solidFill>
              <a:latin typeface="+mn-lt"/>
              <a:ea typeface="+mn-ea"/>
              <a:cs typeface="+mn-cs"/>
            </a:rPr>
            <a:t>: For instance, you may estimate that one of your tractors will last for 30 years. If so, then enter "30" in the "Useful Life Span" column. In this case, you assume you don't close your business and the tractor will not be sold but be in use until it doesn't function any more. If you are going to sell the tractor in 10 years, then enter "10"</a:t>
          </a:r>
          <a:r>
            <a:rPr lang="en-US" altLang="zh-CN" sz="1200" baseline="0">
              <a:solidFill>
                <a:schemeClr val="dk1"/>
              </a:solidFill>
              <a:latin typeface="+mn-lt"/>
              <a:ea typeface="+mn-ea"/>
              <a:cs typeface="+mn-cs"/>
            </a:rPr>
            <a:t> in the "Useful Life Span" column and enter the selling price in the "Salvage Value" column.</a:t>
          </a:r>
          <a:endParaRPr lang="en-US" sz="1200" baseline="0">
            <a:solidFill>
              <a:schemeClr val="dk1"/>
            </a:solidFill>
            <a:latin typeface="+mn-lt"/>
            <a:ea typeface="+mn-ea"/>
            <a:cs typeface="+mn-cs"/>
          </a:endParaRPr>
        </a:p>
        <a:p>
          <a:r>
            <a:rPr lang="en-US" sz="1200" b="1" baseline="0">
              <a:solidFill>
                <a:schemeClr val="dk1"/>
              </a:solidFill>
              <a:latin typeface="+mn-lt"/>
              <a:ea typeface="+mn-ea"/>
              <a:cs typeface="+mn-cs"/>
            </a:rPr>
            <a:t>Salvage Value</a:t>
          </a:r>
          <a:r>
            <a:rPr lang="en-US" sz="1200" baseline="0">
              <a:solidFill>
                <a:schemeClr val="dk1"/>
              </a:solidFill>
              <a:latin typeface="+mn-lt"/>
              <a:ea typeface="+mn-ea"/>
              <a:cs typeface="+mn-cs"/>
            </a:rPr>
            <a:t>: This is the estimated value of an asset after depreciation is complete. For example, if you estimate to close your businesss in 10 years and by the time the tractor is estimated to be sold for X amount of money. This selling price is the salvage value. The difference between purchase price and selling price (salvage value) is the depreciation in the life span of 10 years.</a:t>
          </a:r>
        </a:p>
        <a:p>
          <a:r>
            <a:rPr lang="en-US" sz="1200" b="1" baseline="0">
              <a:solidFill>
                <a:schemeClr val="dk1"/>
              </a:solidFill>
              <a:latin typeface="+mn-lt"/>
              <a:ea typeface="+mn-ea"/>
              <a:cs typeface="+mn-cs"/>
            </a:rPr>
            <a:t>Yearly Depreciation</a:t>
          </a:r>
          <a:r>
            <a:rPr lang="en-US" sz="1200" baseline="0">
              <a:solidFill>
                <a:schemeClr val="dk1"/>
              </a:solidFill>
              <a:latin typeface="+mn-lt"/>
              <a:ea typeface="+mn-ea"/>
              <a:cs typeface="+mn-cs"/>
            </a:rPr>
            <a:t>: We use a straight-line depreciation here. Yearly depreciation is the result of total depreciation (i.e., purchase price minus salvage value) divided by useful life span.</a:t>
          </a:r>
          <a:endParaRPr lang="en-US" sz="120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9524</xdr:colOff>
      <xdr:row>2</xdr:row>
      <xdr:rowOff>57150</xdr:rowOff>
    </xdr:from>
    <xdr:to>
      <xdr:col>11</xdr:col>
      <xdr:colOff>76200</xdr:colOff>
      <xdr:row>7</xdr:row>
      <xdr:rowOff>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308224" y="438150"/>
          <a:ext cx="4778376" cy="8953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a:t>Hello there! </a:t>
          </a:r>
        </a:p>
        <a:p>
          <a:pPr algn="ctr"/>
          <a:r>
            <a:rPr lang="en-US" sz="1600"/>
            <a:t>Please</a:t>
          </a:r>
          <a:r>
            <a:rPr lang="en-US" sz="1600" baseline="0"/>
            <a:t> enter the name of the first cut flower you would like to analyze:</a:t>
          </a:r>
          <a:endParaRPr lang="en-US" sz="1600"/>
        </a:p>
      </xdr:txBody>
    </xdr:sp>
    <xdr:clientData/>
  </xdr:twoCellAnchor>
  <xdr:oneCellAnchor>
    <xdr:from>
      <xdr:col>1</xdr:col>
      <xdr:colOff>57150</xdr:colOff>
      <xdr:row>11</xdr:row>
      <xdr:rowOff>190499</xdr:rowOff>
    </xdr:from>
    <xdr:ext cx="8832850" cy="2733676"/>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36550" y="2311399"/>
          <a:ext cx="8832850" cy="2733676"/>
        </a:xfrm>
        <a:prstGeom prst="rect">
          <a:avLst/>
        </a:prstGeom>
        <a:ln w="19050">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r>
            <a:rPr lang="en-US" sz="1400"/>
            <a:t>You are about to start a wonderful journey. With this tool, you can discover information about the cut</a:t>
          </a:r>
          <a:r>
            <a:rPr lang="en-US" sz="1400" baseline="0"/>
            <a:t> flower</a:t>
          </a:r>
          <a:r>
            <a:rPr lang="en-US" sz="1400"/>
            <a:t> that you grow. After just 5 easy steps you will learn about</a:t>
          </a:r>
          <a:r>
            <a:rPr lang="en-US" sz="1400" baseline="0"/>
            <a:t> the performance of this </a:t>
          </a:r>
          <a:r>
            <a:rPr lang="en-US" sz="1400"/>
            <a:t>cut</a:t>
          </a:r>
          <a:r>
            <a:rPr lang="en-US" sz="1400" baseline="0"/>
            <a:t> flower</a:t>
          </a:r>
          <a:r>
            <a:rPr lang="en-US" sz="1400"/>
            <a:t>, including the</a:t>
          </a:r>
          <a:r>
            <a:rPr lang="en-US" sz="1400" baseline="0"/>
            <a:t> cost of producing a </a:t>
          </a:r>
          <a:r>
            <a:rPr lang="en-US" sz="1400"/>
            <a:t>unit (stem,</a:t>
          </a:r>
          <a:r>
            <a:rPr lang="en-US" sz="1400" baseline="0"/>
            <a:t> bouquets, lbs, etc.</a:t>
          </a:r>
          <a:r>
            <a:rPr lang="en-US" sz="1400"/>
            <a:t>), the total cost per bed foot,</a:t>
          </a:r>
          <a:r>
            <a:rPr lang="en-US" sz="1400" baseline="0"/>
            <a:t> the profit this cut flower earns, and other important metrics to help you decide if this cut flower is right for your farm. Here's a summary of the process...</a:t>
          </a:r>
          <a:endParaRPr lang="en-US" sz="1400"/>
        </a:p>
        <a:p>
          <a:endParaRPr lang="en-US" sz="1200" b="1"/>
        </a:p>
        <a:p>
          <a:r>
            <a:rPr lang="en-US" sz="1600" b="1"/>
            <a:t>Step</a:t>
          </a:r>
          <a:r>
            <a:rPr lang="en-US" sz="1600" b="1" baseline="0"/>
            <a:t> 1: Project Incom</a:t>
          </a:r>
          <a:r>
            <a:rPr lang="en-US" sz="1400" b="1" baseline="0"/>
            <a:t>e </a:t>
          </a:r>
          <a:r>
            <a:rPr lang="en-US" sz="1400" baseline="0"/>
            <a:t>- Project your sales volume and sales price at various outlets.</a:t>
          </a:r>
        </a:p>
        <a:p>
          <a:r>
            <a:rPr lang="en-US" sz="1600" b="1" baseline="0"/>
            <a:t>Step 2: Project Yield</a:t>
          </a:r>
          <a:r>
            <a:rPr lang="zh-CN" altLang="en-US" sz="1600" b="1" baseline="0"/>
            <a:t> </a:t>
          </a:r>
          <a:r>
            <a:rPr lang="en-US" sz="1400" b="0" baseline="0"/>
            <a:t>- Provide information about the production scale of this cut flower like expected yields.</a:t>
          </a:r>
        </a:p>
        <a:p>
          <a:r>
            <a:rPr lang="en-US" sz="1600" b="1" baseline="0"/>
            <a:t>Step 3: Direct Labor Cost </a:t>
          </a:r>
          <a:r>
            <a:rPr lang="en-US" sz="1400" b="0" baseline="0"/>
            <a:t>- Enter labor needs for growing, processing and packing this cut flower.</a:t>
          </a:r>
        </a:p>
        <a:p>
          <a:r>
            <a:rPr lang="en-US" sz="1600" b="1" baseline="0"/>
            <a:t>Step 4: Other Direct Costs</a:t>
          </a:r>
          <a:r>
            <a:rPr lang="en-US" sz="1600" b="0" baseline="0"/>
            <a:t> - </a:t>
          </a:r>
          <a:r>
            <a:rPr lang="en-US" sz="1400" b="0" baseline="0"/>
            <a:t>Enter costs for plant material, pesticides, fertilizer and other direct costs.</a:t>
          </a:r>
        </a:p>
        <a:p>
          <a:r>
            <a:rPr lang="en-US" sz="1600" b="1" baseline="0"/>
            <a:t>Step 5: The End - Crop Assessment</a:t>
          </a:r>
          <a:r>
            <a:rPr lang="en-US" sz="1600" b="0" baseline="0"/>
            <a:t> </a:t>
          </a:r>
          <a:r>
            <a:rPr lang="en-US" sz="1400" b="0" baseline="0"/>
            <a:t>- Tahdah!  A closer look at the performance of this crop.</a:t>
          </a:r>
          <a:endParaRPr lang="en-US" sz="1400" b="1"/>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177800</xdr:colOff>
      <xdr:row>2</xdr:row>
      <xdr:rowOff>76201</xdr:rowOff>
    </xdr:from>
    <xdr:to>
      <xdr:col>9</xdr:col>
      <xdr:colOff>486832</xdr:colOff>
      <xdr:row>4</xdr:row>
      <xdr:rowOff>114301</xdr:rowOff>
    </xdr:to>
    <xdr:sp macro="" textlink="">
      <xdr:nvSpPr>
        <xdr:cNvPr id="2" name="TextBox 1">
          <a:extLst>
            <a:ext uri="{FF2B5EF4-FFF2-40B4-BE49-F238E27FC236}">
              <a16:creationId xmlns:a16="http://schemas.microsoft.com/office/drawing/2014/main" id="{FA041F19-2FBE-664E-A59A-4868CF3D423C}"/>
            </a:ext>
          </a:extLst>
        </xdr:cNvPr>
        <xdr:cNvSpPr txBox="1"/>
      </xdr:nvSpPr>
      <xdr:spPr>
        <a:xfrm>
          <a:off x="177800" y="762001"/>
          <a:ext cx="10900832" cy="495300"/>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As a small-scale grower, you likely sell at various outlets, both retail and wholesale. In the worksheet below, you will enter information into the yellow cells, and only the yellow cells. If you aren't going to use some of the yellow cells, simply enter "0".</a:t>
          </a:r>
          <a:endParaRPr lang="en-US" sz="120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152399</xdr:colOff>
      <xdr:row>2</xdr:row>
      <xdr:rowOff>66676</xdr:rowOff>
    </xdr:from>
    <xdr:to>
      <xdr:col>8</xdr:col>
      <xdr:colOff>139700</xdr:colOff>
      <xdr:row>5</xdr:row>
      <xdr:rowOff>63500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2399" y="752476"/>
          <a:ext cx="13944601" cy="682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Bed Length: </a:t>
          </a:r>
          <a:r>
            <a:rPr lang="en-US" sz="1200"/>
            <a:t>For planning purposes, you need a standard bed length, so that you can make further projections, such as yield, etc.</a:t>
          </a:r>
        </a:p>
        <a:p>
          <a:r>
            <a:rPr lang="en-US" sz="1200" b="1"/>
            <a:t>1 Bed Yield Estimate: </a:t>
          </a:r>
          <a:r>
            <a:rPr lang="en-US" sz="1200"/>
            <a:t>How many units (stems, etc.) of this cut</a:t>
          </a:r>
          <a:r>
            <a:rPr lang="en-US" sz="1200" baseline="0"/>
            <a:t> flower</a:t>
          </a:r>
          <a:r>
            <a:rPr lang="en-US" sz="1200"/>
            <a:t> do you expect to harvest from 1 bed in a year?  Use your best judgement based on your experiences.  You will refer to this estimate when it comes time to project your labor needs for harvesting, processing, and packing the crop.  </a:t>
          </a:r>
          <a:r>
            <a:rPr lang="en-US" sz="1200" u="sng"/>
            <a:t>Note:  Bed Yield is a very important figure in this tool. </a:t>
          </a:r>
          <a:endParaRPr lang="en-US"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149225</xdr:colOff>
      <xdr:row>2</xdr:row>
      <xdr:rowOff>76199</xdr:rowOff>
    </xdr:from>
    <xdr:to>
      <xdr:col>6</xdr:col>
      <xdr:colOff>263525</xdr:colOff>
      <xdr:row>7</xdr:row>
      <xdr:rowOff>203200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49225" y="761999"/>
          <a:ext cx="10147300" cy="1270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following worksheet will help you to assess the labor costs of production - everything from prepping the soil, to packing the crop.  </a:t>
          </a:r>
          <a:endParaRPr lang="en-US" sz="1200" i="1" baseline="0"/>
        </a:p>
        <a:p>
          <a:r>
            <a:rPr lang="en-US" sz="1200" b="1" i="1" baseline="0"/>
            <a:t>Enter the time spent per bed for the entire year!  Pay close attention to units - either minutes or hours.</a:t>
          </a:r>
        </a:p>
        <a:p>
          <a:r>
            <a:rPr lang="en-US" sz="1200" b="1"/>
            <a:t>Machine: </a:t>
          </a:r>
          <a:r>
            <a:rPr lang="en-US" sz="1200"/>
            <a:t>Tractor time spent per bed.</a:t>
          </a:r>
          <a:r>
            <a:rPr lang="en-US" sz="1200" baseline="0"/>
            <a:t> Be sure to include the time it takes to switch implements and travel between fields.</a:t>
          </a:r>
          <a:endParaRPr lang="en-US" sz="1200"/>
        </a:p>
        <a:p>
          <a:r>
            <a:rPr lang="en-US" sz="1200" b="1"/>
            <a:t>Plant Culture: </a:t>
          </a:r>
          <a:r>
            <a:rPr lang="en-US" sz="1200"/>
            <a:t>Time spent planting, weeding, irrigating</a:t>
          </a:r>
          <a:r>
            <a:rPr lang="en-US" sz="1200" baseline="0"/>
            <a:t>, etc., per bed.</a:t>
          </a:r>
          <a:endParaRPr lang="en-US" sz="1200"/>
        </a:p>
        <a:p>
          <a:r>
            <a:rPr lang="en-US" sz="1200" b="1"/>
            <a:t>Post-Harvest: </a:t>
          </a:r>
          <a:r>
            <a:rPr lang="en-US" sz="1200" b="0"/>
            <a:t>Time</a:t>
          </a:r>
          <a:r>
            <a:rPr lang="en-US" sz="1200" b="0" baseline="0"/>
            <a:t> spent harvesting per bed per year. Time spent sorting, grading, bunching, snapping tops, boxing, moving to cold storage, etc.</a:t>
          </a:r>
        </a:p>
        <a:p>
          <a:pPr marL="0" marR="0" lvl="0" indent="0" defTabSz="914400" eaLnBrk="1" fontAlgn="auto" latinLnBrk="0" hangingPunct="1">
            <a:lnSpc>
              <a:spcPct val="100000"/>
            </a:lnSpc>
            <a:spcBef>
              <a:spcPts val="0"/>
            </a:spcBef>
            <a:spcAft>
              <a:spcPts val="0"/>
            </a:spcAft>
            <a:buClrTx/>
            <a:buSzTx/>
            <a:buFontTx/>
            <a:buNone/>
            <a:tabLst/>
            <a:defRPr/>
          </a:pPr>
          <a:r>
            <a:rPr lang="en-US" altLang="zh-CN" sz="1200" b="1"/>
            <a:t>Other Labor Cost: </a:t>
          </a:r>
          <a:r>
            <a:rPr lang="en-US" altLang="zh-CN" sz="1200"/>
            <a:t>Any</a:t>
          </a:r>
          <a:r>
            <a:rPr lang="en-US" altLang="zh-CN" sz="1200" baseline="0"/>
            <a:t> other labor cost directly related with units produced.</a:t>
          </a:r>
          <a:endParaRPr lang="en-US" sz="1200" b="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autoPageBreaks="0" fitToPage="1"/>
  </sheetPr>
  <dimension ref="A2:A23"/>
  <sheetViews>
    <sheetView showGridLines="0" zoomScaleNormal="100" workbookViewId="0">
      <selection activeCell="Q22" sqref="Q22"/>
    </sheetView>
  </sheetViews>
  <sheetFormatPr baseColWidth="10" defaultColWidth="8.83203125" defaultRowHeight="15" x14ac:dyDescent="0.2"/>
  <sheetData>
    <row r="2" ht="63" customHeight="1" x14ac:dyDescent="0.2"/>
    <row r="4" ht="245.25" customHeight="1" x14ac:dyDescent="0.2"/>
    <row r="6" ht="81" customHeight="1" x14ac:dyDescent="0.2"/>
    <row r="8" ht="181.5" customHeight="1" x14ac:dyDescent="0.2"/>
    <row r="23" ht="53.25" customHeight="1" x14ac:dyDescent="0.2"/>
  </sheetData>
  <sheetProtection selectLockedCells="1"/>
  <phoneticPr fontId="38" type="noConversion"/>
  <pageMargins left="0.25" right="0.25"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C00000"/>
    <pageSetUpPr fitToPage="1"/>
  </sheetPr>
  <dimension ref="B1:O88"/>
  <sheetViews>
    <sheetView showGridLines="0" zoomScaleNormal="100" workbookViewId="0">
      <pane ySplit="2" topLeftCell="A11" activePane="bottomLeft" state="frozen"/>
      <selection pane="bottomLeft" activeCell="G39" sqref="G39"/>
    </sheetView>
  </sheetViews>
  <sheetFormatPr baseColWidth="10" defaultColWidth="8.83203125" defaultRowHeight="18" x14ac:dyDescent="0.2"/>
  <cols>
    <col min="1" max="1" width="3.33203125" style="78" customWidth="1"/>
    <col min="2" max="2" width="39.1640625" style="78" customWidth="1"/>
    <col min="3" max="3" width="21.6640625" style="78" customWidth="1"/>
    <col min="4" max="4" width="20" style="78" customWidth="1"/>
    <col min="5" max="5" width="14.33203125" style="78" customWidth="1"/>
    <col min="6" max="6" width="20.5" style="78" customWidth="1"/>
    <col min="7" max="7" width="20.5" style="79" customWidth="1"/>
    <col min="8" max="8" width="6.5" style="78" customWidth="1"/>
    <col min="9" max="9" width="36.5" style="78" customWidth="1"/>
    <col min="10" max="10" width="19.5" style="78" customWidth="1"/>
    <col min="11" max="11" width="9.83203125" style="78" customWidth="1"/>
    <col min="12" max="12" width="13" style="78" customWidth="1"/>
    <col min="13" max="13" width="17.5" style="78" customWidth="1"/>
    <col min="14" max="14" width="14.5" style="78" customWidth="1"/>
    <col min="15" max="15" width="27.1640625" style="78" customWidth="1"/>
    <col min="16" max="16384" width="8.83203125" style="78"/>
  </cols>
  <sheetData>
    <row r="1" spans="2:15" s="141" customFormat="1" ht="27" customHeight="1" thickBot="1" x14ac:dyDescent="0.35">
      <c r="B1" s="658" t="str">
        <f>"Crop Planning for "&amp;'Cut Flower 1'!$F$9</f>
        <v>Crop Planning for write crop name here</v>
      </c>
      <c r="C1" s="658"/>
      <c r="D1" s="658"/>
      <c r="E1" s="660" t="s">
        <v>141</v>
      </c>
      <c r="F1" s="660"/>
      <c r="G1" s="660"/>
      <c r="H1" s="660"/>
    </row>
    <row r="2" spans="2:15" ht="27" customHeight="1" thickBot="1" x14ac:dyDescent="0.35">
      <c r="B2" s="288" t="s">
        <v>321</v>
      </c>
      <c r="C2" s="99"/>
    </row>
    <row r="3" spans="2:15" ht="18" customHeight="1" x14ac:dyDescent="0.2">
      <c r="B3" s="659"/>
      <c r="C3" s="659"/>
      <c r="D3" s="659"/>
      <c r="E3" s="659"/>
      <c r="F3" s="659"/>
      <c r="G3" s="659"/>
      <c r="H3" s="659"/>
      <c r="I3" s="659"/>
      <c r="J3" s="659"/>
      <c r="K3" s="81"/>
      <c r="L3" s="81"/>
    </row>
    <row r="4" spans="2:15" ht="18" customHeight="1" x14ac:dyDescent="0.2">
      <c r="B4" s="80"/>
      <c r="C4" s="80"/>
      <c r="D4" s="80"/>
      <c r="E4" s="80"/>
      <c r="F4" s="80"/>
      <c r="G4" s="80"/>
      <c r="H4" s="80"/>
      <c r="I4" s="80"/>
      <c r="J4" s="80"/>
      <c r="K4" s="81"/>
      <c r="L4" s="81"/>
    </row>
    <row r="5" spans="2:15" ht="18" customHeight="1" x14ac:dyDescent="0.2">
      <c r="B5" s="80"/>
      <c r="C5" s="80"/>
      <c r="D5" s="80"/>
      <c r="E5" s="80"/>
      <c r="F5" s="80"/>
      <c r="G5" s="80"/>
      <c r="H5" s="80"/>
      <c r="I5" s="80"/>
      <c r="J5" s="80"/>
      <c r="K5" s="81"/>
      <c r="L5" s="81"/>
    </row>
    <row r="6" spans="2:15" ht="18" customHeight="1" x14ac:dyDescent="0.2">
      <c r="B6" s="82"/>
      <c r="I6" s="83"/>
      <c r="J6" s="84"/>
      <c r="K6" s="84"/>
      <c r="L6" s="84"/>
    </row>
    <row r="7" spans="2:15" ht="18" customHeight="1" thickBot="1" x14ac:dyDescent="0.25">
      <c r="B7" s="82"/>
    </row>
    <row r="8" spans="2:15" s="85" customFormat="1" ht="18" customHeight="1" thickBot="1" x14ac:dyDescent="0.25">
      <c r="B8" s="598" t="s">
        <v>322</v>
      </c>
      <c r="C8" s="599"/>
      <c r="D8" s="599"/>
      <c r="E8" s="599"/>
      <c r="F8" s="599"/>
      <c r="G8" s="600"/>
    </row>
    <row r="9" spans="2:15" s="85" customFormat="1" ht="18" customHeight="1" thickBot="1" x14ac:dyDescent="0.25">
      <c r="B9" s="665" t="str">
        <f>"* Remember: Estimated Crop Yield Per Bed Is "&amp;'Project Yield'!C12&amp;" "&amp;'Project Yield'!D12</f>
        <v>* Remember: Estimated Crop Yield Per Bed Is 0 stem, bouquet, lbs, bucket, jar</v>
      </c>
      <c r="C9" s="666"/>
      <c r="D9" s="666"/>
      <c r="E9" s="666"/>
      <c r="F9" s="666"/>
      <c r="G9" s="667"/>
    </row>
    <row r="10" spans="2:15" ht="18" customHeight="1" x14ac:dyDescent="0.2">
      <c r="B10" s="289" t="s">
        <v>193</v>
      </c>
      <c r="C10" s="290" t="s">
        <v>206</v>
      </c>
      <c r="D10" s="291" t="s">
        <v>1</v>
      </c>
      <c r="E10" s="292" t="s">
        <v>2</v>
      </c>
      <c r="F10" s="261" t="s">
        <v>5</v>
      </c>
      <c r="G10" s="293" t="s">
        <v>15</v>
      </c>
      <c r="J10" s="86"/>
      <c r="K10" s="86"/>
      <c r="M10" s="111"/>
      <c r="N10" s="111"/>
    </row>
    <row r="11" spans="2:15" ht="18" customHeight="1" x14ac:dyDescent="0.2">
      <c r="B11" s="112" t="s">
        <v>194</v>
      </c>
      <c r="C11" s="502">
        <v>0</v>
      </c>
      <c r="D11" s="106" t="s">
        <v>200</v>
      </c>
      <c r="E11" s="491">
        <v>0</v>
      </c>
      <c r="F11" s="661"/>
      <c r="G11" s="391">
        <f>C11*E11</f>
        <v>0</v>
      </c>
      <c r="L11" s="86"/>
      <c r="O11" s="113"/>
    </row>
    <row r="12" spans="2:15" ht="18" customHeight="1" x14ac:dyDescent="0.2">
      <c r="B12" s="112" t="s">
        <v>195</v>
      </c>
      <c r="C12" s="502">
        <v>0</v>
      </c>
      <c r="D12" s="106" t="s">
        <v>202</v>
      </c>
      <c r="E12" s="491">
        <v>0</v>
      </c>
      <c r="F12" s="661"/>
      <c r="G12" s="391">
        <f t="shared" ref="G12:G17" si="0">C12*E12</f>
        <v>0</v>
      </c>
      <c r="L12" s="86"/>
      <c r="O12" s="113"/>
    </row>
    <row r="13" spans="2:15" ht="18" customHeight="1" x14ac:dyDescent="0.2">
      <c r="B13" s="112" t="s">
        <v>196</v>
      </c>
      <c r="C13" s="502">
        <v>0</v>
      </c>
      <c r="D13" s="106" t="s">
        <v>203</v>
      </c>
      <c r="E13" s="491">
        <v>0</v>
      </c>
      <c r="F13" s="661"/>
      <c r="G13" s="391">
        <f t="shared" si="0"/>
        <v>0</v>
      </c>
      <c r="L13" s="86"/>
      <c r="O13" s="113"/>
    </row>
    <row r="14" spans="2:15" ht="18" customHeight="1" x14ac:dyDescent="0.2">
      <c r="B14" s="112" t="s">
        <v>197</v>
      </c>
      <c r="C14" s="502">
        <v>0</v>
      </c>
      <c r="D14" s="106" t="s">
        <v>204</v>
      </c>
      <c r="E14" s="491">
        <v>0</v>
      </c>
      <c r="F14" s="661"/>
      <c r="G14" s="391">
        <f t="shared" si="0"/>
        <v>0</v>
      </c>
      <c r="L14" s="86"/>
      <c r="O14" s="113"/>
    </row>
    <row r="15" spans="2:15" ht="18" customHeight="1" x14ac:dyDescent="0.2">
      <c r="B15" s="112" t="s">
        <v>198</v>
      </c>
      <c r="C15" s="502">
        <v>0</v>
      </c>
      <c r="D15" s="106" t="s">
        <v>205</v>
      </c>
      <c r="E15" s="491">
        <v>0</v>
      </c>
      <c r="F15" s="661"/>
      <c r="G15" s="391">
        <f t="shared" si="0"/>
        <v>0</v>
      </c>
      <c r="L15" s="86"/>
      <c r="O15" s="113"/>
    </row>
    <row r="16" spans="2:15" ht="18" customHeight="1" x14ac:dyDescent="0.2">
      <c r="B16" s="108" t="s">
        <v>199</v>
      </c>
      <c r="C16" s="502">
        <v>0</v>
      </c>
      <c r="D16" s="106"/>
      <c r="E16" s="491">
        <v>0</v>
      </c>
      <c r="F16" s="661"/>
      <c r="G16" s="391">
        <f t="shared" si="0"/>
        <v>0</v>
      </c>
    </row>
    <row r="17" spans="2:15" ht="18" customHeight="1" x14ac:dyDescent="0.2">
      <c r="B17" s="108" t="s">
        <v>199</v>
      </c>
      <c r="C17" s="502">
        <v>0</v>
      </c>
      <c r="D17" s="106"/>
      <c r="E17" s="491">
        <v>0</v>
      </c>
      <c r="F17" s="661"/>
      <c r="G17" s="391">
        <f t="shared" si="0"/>
        <v>0</v>
      </c>
    </row>
    <row r="18" spans="2:15" ht="18" customHeight="1" thickBot="1" x14ac:dyDescent="0.25">
      <c r="B18" s="158" t="s">
        <v>262</v>
      </c>
      <c r="C18" s="520"/>
      <c r="D18" s="115"/>
      <c r="E18" s="524"/>
      <c r="F18" s="493">
        <f>IFERROR(G18/'Project Yield'!C11,0)</f>
        <v>0</v>
      </c>
      <c r="G18" s="525">
        <f>SUM(G11:G17)</f>
        <v>0</v>
      </c>
      <c r="I18" s="95"/>
      <c r="J18" s="94"/>
      <c r="K18" s="95"/>
      <c r="L18" s="96"/>
      <c r="M18" s="97"/>
      <c r="N18" s="98"/>
      <c r="O18" s="97"/>
    </row>
    <row r="19" spans="2:15" s="86" customFormat="1" ht="18" customHeight="1" x14ac:dyDescent="0.2">
      <c r="B19" s="255" t="s">
        <v>323</v>
      </c>
      <c r="C19" s="297" t="s">
        <v>50</v>
      </c>
      <c r="D19" s="298" t="s">
        <v>1</v>
      </c>
      <c r="E19" s="299" t="s">
        <v>2</v>
      </c>
      <c r="F19" s="300" t="s">
        <v>5</v>
      </c>
      <c r="G19" s="301" t="s">
        <v>15</v>
      </c>
      <c r="I19" s="87"/>
      <c r="J19" s="88"/>
      <c r="K19" s="88"/>
      <c r="L19" s="89"/>
      <c r="M19" s="90"/>
      <c r="N19" s="91"/>
      <c r="O19" s="90"/>
    </row>
    <row r="20" spans="2:15" ht="18" customHeight="1" x14ac:dyDescent="0.2">
      <c r="B20" s="92" t="s">
        <v>25</v>
      </c>
      <c r="C20" s="519">
        <v>0</v>
      </c>
      <c r="D20" s="93" t="s">
        <v>51</v>
      </c>
      <c r="E20" s="526">
        <v>0</v>
      </c>
      <c r="F20" s="403">
        <f>C20*E20</f>
        <v>0</v>
      </c>
      <c r="G20" s="391">
        <f>F20*'Project Yield'!C$11</f>
        <v>0</v>
      </c>
      <c r="J20" s="94"/>
      <c r="K20" s="95"/>
      <c r="L20" s="96"/>
      <c r="M20" s="97"/>
      <c r="N20" s="98"/>
      <c r="O20" s="97"/>
    </row>
    <row r="21" spans="2:15" ht="18" customHeight="1" x14ac:dyDescent="0.2">
      <c r="B21" s="92" t="s">
        <v>25</v>
      </c>
      <c r="C21" s="519">
        <v>0</v>
      </c>
      <c r="D21" s="93" t="s">
        <v>51</v>
      </c>
      <c r="E21" s="526">
        <v>0</v>
      </c>
      <c r="F21" s="403">
        <f>C21*E21</f>
        <v>0</v>
      </c>
      <c r="G21" s="391">
        <f>F21*'Project Yield'!C$11</f>
        <v>0</v>
      </c>
      <c r="I21" s="95"/>
      <c r="J21" s="94"/>
      <c r="K21" s="95"/>
      <c r="L21" s="96"/>
      <c r="M21" s="97"/>
      <c r="N21" s="98"/>
      <c r="O21" s="97"/>
    </row>
    <row r="22" spans="2:15" ht="18" customHeight="1" thickBot="1" x14ac:dyDescent="0.25">
      <c r="B22" s="302" t="s">
        <v>262</v>
      </c>
      <c r="C22" s="523"/>
      <c r="D22" s="303"/>
      <c r="E22" s="527"/>
      <c r="F22" s="528">
        <f>SUM(F20:F21)</f>
        <v>0</v>
      </c>
      <c r="G22" s="529">
        <f>SUM(G20:G21)</f>
        <v>0</v>
      </c>
      <c r="I22" s="86"/>
      <c r="J22" s="88"/>
      <c r="K22" s="88"/>
      <c r="L22" s="89"/>
      <c r="M22" s="90"/>
      <c r="N22" s="91"/>
      <c r="O22" s="90"/>
    </row>
    <row r="23" spans="2:15" s="99" customFormat="1" ht="18" customHeight="1" x14ac:dyDescent="0.2">
      <c r="B23" s="306" t="s">
        <v>324</v>
      </c>
      <c r="C23" s="291" t="s">
        <v>50</v>
      </c>
      <c r="D23" s="291" t="s">
        <v>1</v>
      </c>
      <c r="E23" s="292" t="s">
        <v>2</v>
      </c>
      <c r="F23" s="261" t="s">
        <v>5</v>
      </c>
      <c r="G23" s="293" t="s">
        <v>15</v>
      </c>
      <c r="J23" s="100"/>
      <c r="K23" s="101"/>
      <c r="L23" s="102"/>
      <c r="M23" s="103"/>
      <c r="N23" s="104"/>
      <c r="O23" s="103"/>
    </row>
    <row r="24" spans="2:15" ht="18" customHeight="1" x14ac:dyDescent="0.2">
      <c r="B24" s="105" t="s">
        <v>201</v>
      </c>
      <c r="C24" s="502">
        <v>0</v>
      </c>
      <c r="D24" s="106" t="s">
        <v>173</v>
      </c>
      <c r="E24" s="491">
        <v>0</v>
      </c>
      <c r="F24" s="403">
        <f>C24*E24</f>
        <v>0</v>
      </c>
      <c r="G24" s="391">
        <f>F24*'Project Yield'!C$11</f>
        <v>0</v>
      </c>
      <c r="J24" s="94"/>
      <c r="K24" s="95"/>
      <c r="L24" s="96"/>
      <c r="M24" s="97"/>
      <c r="N24" s="98"/>
      <c r="O24" s="97"/>
    </row>
    <row r="25" spans="2:15" ht="18" customHeight="1" x14ac:dyDescent="0.2">
      <c r="B25" s="105" t="s">
        <v>148</v>
      </c>
      <c r="C25" s="502">
        <v>0</v>
      </c>
      <c r="D25" s="107" t="s">
        <v>7</v>
      </c>
      <c r="E25" s="491">
        <v>0</v>
      </c>
      <c r="F25" s="403">
        <f t="shared" ref="F25:F33" si="1">C25*E25</f>
        <v>0</v>
      </c>
      <c r="G25" s="391">
        <f>F25*'Project Yield'!C$11</f>
        <v>0</v>
      </c>
      <c r="I25" s="95"/>
      <c r="J25" s="94"/>
      <c r="K25" s="95"/>
      <c r="L25" s="96"/>
      <c r="M25" s="97"/>
      <c r="N25" s="98"/>
      <c r="O25" s="97"/>
    </row>
    <row r="26" spans="2:15" ht="18" customHeight="1" x14ac:dyDescent="0.2">
      <c r="B26" s="105" t="s">
        <v>70</v>
      </c>
      <c r="C26" s="502">
        <v>0</v>
      </c>
      <c r="D26" s="107" t="s">
        <v>3</v>
      </c>
      <c r="E26" s="491">
        <v>0</v>
      </c>
      <c r="F26" s="403">
        <f t="shared" si="1"/>
        <v>0</v>
      </c>
      <c r="G26" s="391">
        <f>F26*'Project Yield'!C$11</f>
        <v>0</v>
      </c>
      <c r="I26" s="657"/>
      <c r="J26" s="657"/>
      <c r="K26" s="657"/>
      <c r="L26" s="657"/>
      <c r="M26" s="657"/>
      <c r="N26" s="657"/>
      <c r="O26" s="97"/>
    </row>
    <row r="27" spans="2:15" ht="18" customHeight="1" x14ac:dyDescent="0.2">
      <c r="B27" s="105" t="s">
        <v>71</v>
      </c>
      <c r="C27" s="502">
        <v>0</v>
      </c>
      <c r="D27" s="107" t="s">
        <v>3</v>
      </c>
      <c r="E27" s="491">
        <v>0</v>
      </c>
      <c r="F27" s="403">
        <f t="shared" si="1"/>
        <v>0</v>
      </c>
      <c r="G27" s="391">
        <f>F27*'Project Yield'!C$11</f>
        <v>0</v>
      </c>
      <c r="I27" s="86"/>
      <c r="J27" s="88"/>
      <c r="K27" s="88"/>
      <c r="L27" s="89"/>
      <c r="M27" s="90"/>
      <c r="N27" s="91"/>
      <c r="O27" s="90"/>
    </row>
    <row r="28" spans="2:15" ht="18" customHeight="1" x14ac:dyDescent="0.2">
      <c r="B28" s="105" t="s">
        <v>72</v>
      </c>
      <c r="C28" s="502">
        <v>0</v>
      </c>
      <c r="D28" s="107" t="s">
        <v>6</v>
      </c>
      <c r="E28" s="491">
        <v>0</v>
      </c>
      <c r="F28" s="403">
        <f t="shared" si="1"/>
        <v>0</v>
      </c>
      <c r="G28" s="391">
        <f>F28*'Project Yield'!C$11</f>
        <v>0</v>
      </c>
      <c r="J28" s="94"/>
      <c r="K28" s="95"/>
      <c r="L28" s="96"/>
      <c r="M28" s="97"/>
      <c r="N28" s="98"/>
      <c r="O28" s="97"/>
    </row>
    <row r="29" spans="2:15" ht="18" customHeight="1" x14ac:dyDescent="0.2">
      <c r="B29" s="105" t="s">
        <v>10</v>
      </c>
      <c r="C29" s="502">
        <v>0</v>
      </c>
      <c r="D29" s="107" t="s">
        <v>6</v>
      </c>
      <c r="E29" s="491">
        <v>0</v>
      </c>
      <c r="F29" s="403">
        <f t="shared" si="1"/>
        <v>0</v>
      </c>
      <c r="G29" s="391">
        <f>F29*'Project Yield'!C$11</f>
        <v>0</v>
      </c>
      <c r="I29" s="95"/>
      <c r="J29" s="94"/>
      <c r="K29" s="95"/>
      <c r="L29" s="96"/>
      <c r="M29" s="97"/>
      <c r="N29" s="98"/>
      <c r="O29" s="97"/>
    </row>
    <row r="30" spans="2:15" ht="18" customHeight="1" x14ac:dyDescent="0.2">
      <c r="B30" s="105" t="s">
        <v>8</v>
      </c>
      <c r="C30" s="502">
        <v>0</v>
      </c>
      <c r="D30" s="107" t="s">
        <v>9</v>
      </c>
      <c r="E30" s="491">
        <v>0</v>
      </c>
      <c r="F30" s="403">
        <f t="shared" si="1"/>
        <v>0</v>
      </c>
      <c r="G30" s="391">
        <f>F30*'Project Yield'!C$11</f>
        <v>0</v>
      </c>
      <c r="I30" s="95"/>
      <c r="J30" s="94"/>
      <c r="K30" s="95"/>
      <c r="L30" s="96"/>
      <c r="M30" s="97"/>
      <c r="N30" s="98"/>
      <c r="O30" s="97"/>
    </row>
    <row r="31" spans="2:15" ht="18" customHeight="1" x14ac:dyDescent="0.2">
      <c r="B31" s="108" t="s">
        <v>26</v>
      </c>
      <c r="C31" s="502">
        <v>0</v>
      </c>
      <c r="D31" s="107"/>
      <c r="E31" s="491">
        <v>0</v>
      </c>
      <c r="F31" s="403">
        <f t="shared" si="1"/>
        <v>0</v>
      </c>
      <c r="G31" s="391">
        <f>F31*'Project Yield'!C$11</f>
        <v>0</v>
      </c>
      <c r="I31" s="657"/>
      <c r="J31" s="657"/>
      <c r="K31" s="657"/>
      <c r="L31" s="657"/>
      <c r="M31" s="657"/>
      <c r="N31" s="657"/>
      <c r="O31" s="97"/>
    </row>
    <row r="32" spans="2:15" ht="18" customHeight="1" x14ac:dyDescent="0.2">
      <c r="B32" s="108" t="s">
        <v>26</v>
      </c>
      <c r="C32" s="502">
        <v>0</v>
      </c>
      <c r="D32" s="107"/>
      <c r="E32" s="491">
        <v>0</v>
      </c>
      <c r="F32" s="403">
        <f t="shared" si="1"/>
        <v>0</v>
      </c>
      <c r="G32" s="391">
        <f>F32*'Project Yield'!C$11</f>
        <v>0</v>
      </c>
      <c r="I32" s="86"/>
      <c r="J32" s="88"/>
      <c r="K32" s="88"/>
      <c r="L32" s="89"/>
      <c r="M32" s="90"/>
      <c r="N32" s="91"/>
      <c r="O32" s="90"/>
    </row>
    <row r="33" spans="2:15" ht="18" customHeight="1" x14ac:dyDescent="0.2">
      <c r="B33" s="108" t="s">
        <v>26</v>
      </c>
      <c r="C33" s="502">
        <v>0</v>
      </c>
      <c r="D33" s="107"/>
      <c r="E33" s="491">
        <v>0</v>
      </c>
      <c r="F33" s="403">
        <f t="shared" si="1"/>
        <v>0</v>
      </c>
      <c r="G33" s="391">
        <f>F33*'Project Yield'!C$11</f>
        <v>0</v>
      </c>
      <c r="J33" s="94"/>
      <c r="K33" s="95"/>
      <c r="L33" s="96"/>
      <c r="M33" s="97"/>
      <c r="N33" s="98"/>
      <c r="O33" s="97"/>
    </row>
    <row r="34" spans="2:15" ht="18" customHeight="1" thickBot="1" x14ac:dyDescent="0.25">
      <c r="B34" s="158" t="s">
        <v>262</v>
      </c>
      <c r="C34" s="520"/>
      <c r="D34" s="115"/>
      <c r="E34" s="524"/>
      <c r="F34" s="530">
        <f>SUM(F24:F33)</f>
        <v>0</v>
      </c>
      <c r="G34" s="525">
        <f>SUM(G24:G33)</f>
        <v>0</v>
      </c>
      <c r="I34" s="657"/>
      <c r="J34" s="657"/>
      <c r="K34" s="657"/>
      <c r="L34" s="657"/>
      <c r="M34" s="657"/>
      <c r="N34" s="657"/>
      <c r="O34" s="97"/>
    </row>
    <row r="35" spans="2:15" ht="18" customHeight="1" x14ac:dyDescent="0.2">
      <c r="B35" s="304" t="s">
        <v>215</v>
      </c>
      <c r="C35" s="305" t="s">
        <v>50</v>
      </c>
      <c r="D35" s="305" t="s">
        <v>1</v>
      </c>
      <c r="E35" s="299" t="s">
        <v>2</v>
      </c>
      <c r="F35" s="300" t="s">
        <v>5</v>
      </c>
      <c r="G35" s="301" t="s">
        <v>15</v>
      </c>
      <c r="I35" s="95"/>
      <c r="J35" s="94"/>
      <c r="K35" s="95"/>
      <c r="L35" s="96"/>
      <c r="M35" s="97"/>
      <c r="N35" s="98"/>
      <c r="O35" s="97"/>
    </row>
    <row r="36" spans="2:15" ht="18" customHeight="1" x14ac:dyDescent="0.2">
      <c r="B36" s="109" t="s">
        <v>209</v>
      </c>
      <c r="C36" s="502">
        <v>0</v>
      </c>
      <c r="D36" s="106" t="s">
        <v>211</v>
      </c>
      <c r="E36" s="491">
        <v>0</v>
      </c>
      <c r="F36" s="403">
        <f>C36*E36</f>
        <v>0</v>
      </c>
      <c r="G36" s="391">
        <f>F36*'Project Yield'!C$11</f>
        <v>0</v>
      </c>
      <c r="I36" s="657"/>
      <c r="J36" s="657"/>
      <c r="K36" s="657"/>
      <c r="L36" s="657"/>
      <c r="M36" s="657"/>
      <c r="N36" s="657"/>
      <c r="O36" s="97"/>
    </row>
    <row r="37" spans="2:15" ht="18" customHeight="1" x14ac:dyDescent="0.2">
      <c r="B37" s="109" t="s">
        <v>208</v>
      </c>
      <c r="C37" s="502">
        <v>0</v>
      </c>
      <c r="D37" s="106" t="s">
        <v>212</v>
      </c>
      <c r="E37" s="491">
        <v>0</v>
      </c>
      <c r="F37" s="403">
        <f>C37*E37</f>
        <v>0</v>
      </c>
      <c r="G37" s="391">
        <f>F37*'Project Yield'!C$11</f>
        <v>0</v>
      </c>
      <c r="I37" s="86"/>
      <c r="J37" s="88"/>
      <c r="K37" s="88"/>
      <c r="L37" s="89"/>
      <c r="M37" s="90"/>
      <c r="N37" s="91"/>
      <c r="O37" s="90"/>
    </row>
    <row r="38" spans="2:15" ht="18" customHeight="1" x14ac:dyDescent="0.2">
      <c r="B38" s="109" t="s">
        <v>210</v>
      </c>
      <c r="C38" s="502">
        <v>0</v>
      </c>
      <c r="D38" s="106" t="s">
        <v>213</v>
      </c>
      <c r="E38" s="491">
        <v>0</v>
      </c>
      <c r="F38" s="403">
        <f>C38*E38</f>
        <v>0</v>
      </c>
      <c r="G38" s="391">
        <f>F38*'Project Yield'!C$11</f>
        <v>0</v>
      </c>
      <c r="I38" s="95"/>
      <c r="J38" s="94"/>
      <c r="K38" s="95"/>
      <c r="L38" s="96"/>
      <c r="M38" s="97"/>
      <c r="N38" s="98"/>
      <c r="O38" s="97"/>
    </row>
    <row r="39" spans="2:15" ht="18" customHeight="1" x14ac:dyDescent="0.2">
      <c r="B39" s="108" t="s">
        <v>26</v>
      </c>
      <c r="C39" s="502">
        <v>0</v>
      </c>
      <c r="D39" s="107"/>
      <c r="E39" s="491">
        <v>0</v>
      </c>
      <c r="F39" s="403">
        <f>C39*E39</f>
        <v>0</v>
      </c>
      <c r="G39" s="391">
        <f>F39*'Project Yield'!C$11</f>
        <v>0</v>
      </c>
      <c r="I39" s="95"/>
      <c r="J39" s="94"/>
      <c r="K39" s="95"/>
      <c r="L39" s="96"/>
      <c r="M39" s="97"/>
      <c r="N39" s="98"/>
      <c r="O39" s="97"/>
    </row>
    <row r="40" spans="2:15" ht="18" customHeight="1" x14ac:dyDescent="0.2">
      <c r="B40" s="108" t="s">
        <v>26</v>
      </c>
      <c r="C40" s="502">
        <v>0</v>
      </c>
      <c r="D40" s="107"/>
      <c r="E40" s="491">
        <v>0</v>
      </c>
      <c r="F40" s="403">
        <f>C40*E40</f>
        <v>0</v>
      </c>
      <c r="G40" s="391">
        <f>F40*'Project Yield'!C$11</f>
        <v>0</v>
      </c>
      <c r="I40" s="95"/>
      <c r="J40" s="94"/>
      <c r="K40" s="95"/>
      <c r="L40" s="96"/>
      <c r="M40" s="97"/>
      <c r="N40" s="98"/>
      <c r="O40" s="97"/>
    </row>
    <row r="41" spans="2:15" ht="18" customHeight="1" thickBot="1" x14ac:dyDescent="0.25">
      <c r="B41" s="158" t="s">
        <v>262</v>
      </c>
      <c r="C41" s="520"/>
      <c r="D41" s="115"/>
      <c r="E41" s="524"/>
      <c r="F41" s="530">
        <f>SUM(F36:F40)</f>
        <v>0</v>
      </c>
      <c r="G41" s="525">
        <f>SUM(G36:G40)</f>
        <v>0</v>
      </c>
    </row>
    <row r="42" spans="2:15" ht="18" customHeight="1" x14ac:dyDescent="0.2">
      <c r="B42" s="90"/>
      <c r="F42" s="113"/>
      <c r="G42" s="113"/>
    </row>
    <row r="43" spans="2:15" ht="18" customHeight="1" thickBot="1" x14ac:dyDescent="0.25">
      <c r="F43" s="113"/>
    </row>
    <row r="44" spans="2:15" s="85" customFormat="1" ht="18" customHeight="1" thickBot="1" x14ac:dyDescent="0.25">
      <c r="B44" s="595" t="s">
        <v>325</v>
      </c>
      <c r="C44" s="596"/>
      <c r="D44" s="596"/>
      <c r="E44" s="596"/>
      <c r="F44" s="596"/>
      <c r="G44" s="597"/>
    </row>
    <row r="45" spans="2:15" s="85" customFormat="1" ht="18" customHeight="1" thickBot="1" x14ac:dyDescent="0.25">
      <c r="B45" s="662" t="str">
        <f>"* Remember: Estimated Crop Yield Per Bed Is "&amp;'Project Yield'!C12&amp;" "&amp;'Project Yield'!D12</f>
        <v>* Remember: Estimated Crop Yield Per Bed Is 0 stem, bouquet, lbs, bucket, jar</v>
      </c>
      <c r="C45" s="663"/>
      <c r="D45" s="663"/>
      <c r="E45" s="663"/>
      <c r="F45" s="663"/>
      <c r="G45" s="664"/>
    </row>
    <row r="46" spans="2:15" ht="18" customHeight="1" x14ac:dyDescent="0.2">
      <c r="B46" s="307" t="s">
        <v>94</v>
      </c>
      <c r="C46" s="291" t="s">
        <v>50</v>
      </c>
      <c r="D46" s="291" t="s">
        <v>1</v>
      </c>
      <c r="E46" s="292" t="s">
        <v>2</v>
      </c>
      <c r="F46" s="261" t="s">
        <v>5</v>
      </c>
      <c r="G46" s="293" t="s">
        <v>15</v>
      </c>
    </row>
    <row r="47" spans="2:15" ht="18" customHeight="1" x14ac:dyDescent="0.2">
      <c r="B47" s="105" t="s">
        <v>83</v>
      </c>
      <c r="C47" s="502">
        <v>0</v>
      </c>
      <c r="D47" s="106"/>
      <c r="E47" s="491">
        <v>0</v>
      </c>
      <c r="F47" s="403">
        <f>C47*E47</f>
        <v>0</v>
      </c>
      <c r="G47" s="391">
        <f>F47*'Project Yield'!C$11</f>
        <v>0</v>
      </c>
    </row>
    <row r="48" spans="2:15" ht="18" customHeight="1" x14ac:dyDescent="0.2">
      <c r="B48" s="108" t="s">
        <v>26</v>
      </c>
      <c r="C48" s="502">
        <v>0</v>
      </c>
      <c r="D48" s="106"/>
      <c r="E48" s="491">
        <v>0</v>
      </c>
      <c r="F48" s="403">
        <f>C48*E48</f>
        <v>0</v>
      </c>
      <c r="G48" s="391">
        <f>F48*'Project Yield'!C$11</f>
        <v>0</v>
      </c>
    </row>
    <row r="49" spans="2:7" ht="18" customHeight="1" x14ac:dyDescent="0.2">
      <c r="B49" s="108" t="s">
        <v>26</v>
      </c>
      <c r="C49" s="502">
        <v>0</v>
      </c>
      <c r="D49" s="106"/>
      <c r="E49" s="491">
        <v>0</v>
      </c>
      <c r="F49" s="403">
        <f>C49*E49</f>
        <v>0</v>
      </c>
      <c r="G49" s="391">
        <f>F49*'Project Yield'!C$11</f>
        <v>0</v>
      </c>
    </row>
    <row r="50" spans="2:7" ht="18" customHeight="1" thickBot="1" x14ac:dyDescent="0.25">
      <c r="B50" s="158" t="s">
        <v>262</v>
      </c>
      <c r="C50" s="520"/>
      <c r="D50" s="115"/>
      <c r="E50" s="524"/>
      <c r="F50" s="493">
        <f>SUM(F47:F49)</f>
        <v>0</v>
      </c>
      <c r="G50" s="462">
        <f>SUM(G47:G49)</f>
        <v>0</v>
      </c>
    </row>
    <row r="51" spans="2:7" ht="18" customHeight="1" x14ac:dyDescent="0.2">
      <c r="B51" s="255" t="s">
        <v>84</v>
      </c>
      <c r="C51" s="305" t="s">
        <v>50</v>
      </c>
      <c r="D51" s="305" t="s">
        <v>1</v>
      </c>
      <c r="E51" s="299" t="s">
        <v>2</v>
      </c>
      <c r="F51" s="300" t="s">
        <v>5</v>
      </c>
      <c r="G51" s="301" t="s">
        <v>15</v>
      </c>
    </row>
    <row r="52" spans="2:7" ht="18" customHeight="1" x14ac:dyDescent="0.2">
      <c r="B52" s="105" t="s">
        <v>83</v>
      </c>
      <c r="C52" s="502">
        <v>0</v>
      </c>
      <c r="D52" s="106" t="s">
        <v>214</v>
      </c>
      <c r="E52" s="491">
        <v>0</v>
      </c>
      <c r="F52" s="403">
        <f>C52*E52</f>
        <v>0</v>
      </c>
      <c r="G52" s="391">
        <f>F52*'Project Yield'!C$11</f>
        <v>0</v>
      </c>
    </row>
    <row r="53" spans="2:7" ht="18" customHeight="1" x14ac:dyDescent="0.2">
      <c r="B53" s="108" t="s">
        <v>26</v>
      </c>
      <c r="C53" s="502">
        <v>0</v>
      </c>
      <c r="D53" s="106"/>
      <c r="E53" s="491">
        <v>0</v>
      </c>
      <c r="F53" s="403">
        <f>C53*E53</f>
        <v>0</v>
      </c>
      <c r="G53" s="391">
        <f>F53*'Project Yield'!C$11</f>
        <v>0</v>
      </c>
    </row>
    <row r="54" spans="2:7" ht="18" customHeight="1" x14ac:dyDescent="0.2">
      <c r="B54" s="108" t="s">
        <v>26</v>
      </c>
      <c r="C54" s="502">
        <v>0</v>
      </c>
      <c r="D54" s="106"/>
      <c r="E54" s="491">
        <v>0</v>
      </c>
      <c r="F54" s="403">
        <f>C54*E54</f>
        <v>0</v>
      </c>
      <c r="G54" s="391">
        <f>F54*'Project Yield'!C$11</f>
        <v>0</v>
      </c>
    </row>
    <row r="55" spans="2:7" ht="18" customHeight="1" thickBot="1" x14ac:dyDescent="0.25">
      <c r="B55" s="308" t="s">
        <v>262</v>
      </c>
      <c r="C55" s="521"/>
      <c r="D55" s="309"/>
      <c r="E55" s="531"/>
      <c r="F55" s="532">
        <f>SUM(F52:F54)</f>
        <v>0</v>
      </c>
      <c r="G55" s="533">
        <f>SUM(G52:G54)</f>
        <v>0</v>
      </c>
    </row>
    <row r="56" spans="2:7" ht="18" customHeight="1" x14ac:dyDescent="0.2">
      <c r="B56" s="253" t="s">
        <v>85</v>
      </c>
      <c r="C56" s="291" t="s">
        <v>50</v>
      </c>
      <c r="D56" s="291" t="s">
        <v>1</v>
      </c>
      <c r="E56" s="292" t="s">
        <v>2</v>
      </c>
      <c r="F56" s="261" t="s">
        <v>5</v>
      </c>
      <c r="G56" s="293" t="s">
        <v>15</v>
      </c>
    </row>
    <row r="57" spans="2:7" ht="18" customHeight="1" x14ac:dyDescent="0.2">
      <c r="B57" s="105" t="s">
        <v>83</v>
      </c>
      <c r="C57" s="502">
        <v>0</v>
      </c>
      <c r="D57" s="106" t="s">
        <v>74</v>
      </c>
      <c r="E57" s="491">
        <v>0</v>
      </c>
      <c r="F57" s="403">
        <f>C57*E57</f>
        <v>0</v>
      </c>
      <c r="G57" s="391">
        <f>F57*'Project Yield'!C$11</f>
        <v>0</v>
      </c>
    </row>
    <row r="58" spans="2:7" ht="18" customHeight="1" x14ac:dyDescent="0.2">
      <c r="B58" s="108" t="s">
        <v>26</v>
      </c>
      <c r="C58" s="502">
        <v>0</v>
      </c>
      <c r="D58" s="106"/>
      <c r="E58" s="491">
        <v>0</v>
      </c>
      <c r="F58" s="403">
        <f>C58*E58</f>
        <v>0</v>
      </c>
      <c r="G58" s="391">
        <f>F58*'Project Yield'!C$11</f>
        <v>0</v>
      </c>
    </row>
    <row r="59" spans="2:7" ht="18" customHeight="1" x14ac:dyDescent="0.2">
      <c r="B59" s="108" t="s">
        <v>26</v>
      </c>
      <c r="C59" s="502">
        <v>0</v>
      </c>
      <c r="D59" s="106"/>
      <c r="E59" s="491">
        <v>0</v>
      </c>
      <c r="F59" s="403">
        <f>C59*E59</f>
        <v>0</v>
      </c>
      <c r="G59" s="391">
        <f>F59*'Project Yield'!C$11</f>
        <v>0</v>
      </c>
    </row>
    <row r="60" spans="2:7" ht="18" customHeight="1" thickBot="1" x14ac:dyDescent="0.25">
      <c r="B60" s="158" t="s">
        <v>262</v>
      </c>
      <c r="C60" s="520"/>
      <c r="D60" s="115"/>
      <c r="E60" s="524"/>
      <c r="F60" s="493">
        <f>SUM(F57:F59)</f>
        <v>0</v>
      </c>
      <c r="G60" s="462">
        <f>SUM(G57:G59)</f>
        <v>0</v>
      </c>
    </row>
    <row r="61" spans="2:7" ht="18" customHeight="1" x14ac:dyDescent="0.2">
      <c r="B61" s="255" t="s">
        <v>86</v>
      </c>
      <c r="C61" s="305" t="s">
        <v>50</v>
      </c>
      <c r="D61" s="305" t="s">
        <v>1</v>
      </c>
      <c r="E61" s="299" t="s">
        <v>2</v>
      </c>
      <c r="F61" s="300" t="s">
        <v>5</v>
      </c>
      <c r="G61" s="301" t="s">
        <v>15</v>
      </c>
    </row>
    <row r="62" spans="2:7" ht="18" customHeight="1" x14ac:dyDescent="0.2">
      <c r="B62" s="105" t="s">
        <v>83</v>
      </c>
      <c r="C62" s="502">
        <v>0</v>
      </c>
      <c r="D62" s="106" t="s">
        <v>74</v>
      </c>
      <c r="E62" s="491">
        <v>0</v>
      </c>
      <c r="F62" s="403">
        <f>C62*E62</f>
        <v>0</v>
      </c>
      <c r="G62" s="391">
        <f>F62*'Project Yield'!C$11</f>
        <v>0</v>
      </c>
    </row>
    <row r="63" spans="2:7" ht="18" customHeight="1" x14ac:dyDescent="0.2">
      <c r="B63" s="108" t="s">
        <v>26</v>
      </c>
      <c r="C63" s="502">
        <v>0</v>
      </c>
      <c r="D63" s="106"/>
      <c r="E63" s="491">
        <v>0</v>
      </c>
      <c r="F63" s="403">
        <f>C63*E63</f>
        <v>0</v>
      </c>
      <c r="G63" s="391">
        <f>F63*'Project Yield'!C$11</f>
        <v>0</v>
      </c>
    </row>
    <row r="64" spans="2:7" ht="18" customHeight="1" x14ac:dyDescent="0.2">
      <c r="B64" s="108" t="s">
        <v>26</v>
      </c>
      <c r="C64" s="502">
        <v>0</v>
      </c>
      <c r="D64" s="106"/>
      <c r="E64" s="491">
        <v>0</v>
      </c>
      <c r="F64" s="403">
        <f>C64*E64</f>
        <v>0</v>
      </c>
      <c r="G64" s="391">
        <f>F64*'Project Yield'!C$11</f>
        <v>0</v>
      </c>
    </row>
    <row r="65" spans="2:7" ht="18" customHeight="1" x14ac:dyDescent="0.2">
      <c r="B65" s="152" t="s">
        <v>262</v>
      </c>
      <c r="C65" s="522"/>
      <c r="D65" s="110"/>
      <c r="E65" s="403"/>
      <c r="F65" s="534">
        <f>SUM(F62:F64)</f>
        <v>0</v>
      </c>
      <c r="G65" s="535">
        <f>SUM(G62:G64)</f>
        <v>0</v>
      </c>
    </row>
    <row r="66" spans="2:7" ht="18" customHeight="1" x14ac:dyDescent="0.2">
      <c r="B66" s="224" t="s">
        <v>328</v>
      </c>
      <c r="C66" s="296" t="s">
        <v>50</v>
      </c>
      <c r="D66" s="296" t="s">
        <v>1</v>
      </c>
      <c r="E66" s="294" t="s">
        <v>2</v>
      </c>
      <c r="F66" s="226" t="s">
        <v>5</v>
      </c>
      <c r="G66" s="295" t="s">
        <v>15</v>
      </c>
    </row>
    <row r="67" spans="2:7" ht="18" customHeight="1" x14ac:dyDescent="0.2">
      <c r="B67" s="109" t="s">
        <v>83</v>
      </c>
      <c r="C67" s="502">
        <v>0</v>
      </c>
      <c r="D67" s="106" t="s">
        <v>74</v>
      </c>
      <c r="E67" s="491">
        <v>0</v>
      </c>
      <c r="F67" s="403">
        <f>C67*E67</f>
        <v>0</v>
      </c>
      <c r="G67" s="391">
        <f>F67*'Project Yield'!C$11</f>
        <v>0</v>
      </c>
    </row>
    <row r="68" spans="2:7" ht="18" customHeight="1" x14ac:dyDescent="0.2">
      <c r="B68" s="108" t="s">
        <v>26</v>
      </c>
      <c r="C68" s="502">
        <v>0</v>
      </c>
      <c r="D68" s="106"/>
      <c r="E68" s="491">
        <v>0</v>
      </c>
      <c r="F68" s="403">
        <f>C68*E68</f>
        <v>0</v>
      </c>
      <c r="G68" s="391">
        <f>F68*'Project Yield'!C$11</f>
        <v>0</v>
      </c>
    </row>
    <row r="69" spans="2:7" ht="18" customHeight="1" x14ac:dyDescent="0.2">
      <c r="B69" s="108" t="s">
        <v>26</v>
      </c>
      <c r="C69" s="502">
        <v>0</v>
      </c>
      <c r="D69" s="106"/>
      <c r="E69" s="491">
        <v>0</v>
      </c>
      <c r="F69" s="403">
        <f>C69*E69</f>
        <v>0</v>
      </c>
      <c r="G69" s="391">
        <f>F69*'Project Yield'!C$11</f>
        <v>0</v>
      </c>
    </row>
    <row r="70" spans="2:7" ht="18" customHeight="1" x14ac:dyDescent="0.2">
      <c r="B70" s="152" t="s">
        <v>262</v>
      </c>
      <c r="C70" s="522"/>
      <c r="D70" s="110"/>
      <c r="E70" s="403"/>
      <c r="F70" s="534">
        <f>SUM(F67:F69)</f>
        <v>0</v>
      </c>
      <c r="G70" s="535">
        <f>SUM(G67:G69)</f>
        <v>0</v>
      </c>
    </row>
    <row r="71" spans="2:7" ht="18" customHeight="1" x14ac:dyDescent="0.2">
      <c r="B71" s="224" t="s">
        <v>329</v>
      </c>
      <c r="C71" s="296" t="s">
        <v>50</v>
      </c>
      <c r="D71" s="296" t="s">
        <v>1</v>
      </c>
      <c r="E71" s="294" t="s">
        <v>2</v>
      </c>
      <c r="F71" s="226" t="s">
        <v>5</v>
      </c>
      <c r="G71" s="295" t="s">
        <v>15</v>
      </c>
    </row>
    <row r="72" spans="2:7" ht="18" customHeight="1" x14ac:dyDescent="0.2">
      <c r="B72" s="105" t="s">
        <v>83</v>
      </c>
      <c r="C72" s="502">
        <v>0</v>
      </c>
      <c r="D72" s="106" t="s">
        <v>74</v>
      </c>
      <c r="E72" s="491">
        <v>0</v>
      </c>
      <c r="F72" s="403">
        <f>C72*E72</f>
        <v>0</v>
      </c>
      <c r="G72" s="391">
        <f>F72*'Project Yield'!C$11</f>
        <v>0</v>
      </c>
    </row>
    <row r="73" spans="2:7" ht="18" customHeight="1" x14ac:dyDescent="0.2">
      <c r="B73" s="108" t="s">
        <v>26</v>
      </c>
      <c r="C73" s="502">
        <v>0</v>
      </c>
      <c r="D73" s="106"/>
      <c r="E73" s="491">
        <v>0</v>
      </c>
      <c r="F73" s="403">
        <f>C73*E73</f>
        <v>0</v>
      </c>
      <c r="G73" s="391">
        <f>F73*'Project Yield'!C$11</f>
        <v>0</v>
      </c>
    </row>
    <row r="74" spans="2:7" ht="18" customHeight="1" x14ac:dyDescent="0.2">
      <c r="B74" s="108" t="s">
        <v>26</v>
      </c>
      <c r="C74" s="502">
        <v>0</v>
      </c>
      <c r="D74" s="106"/>
      <c r="E74" s="491">
        <v>0</v>
      </c>
      <c r="F74" s="403">
        <f>C74*E74</f>
        <v>0</v>
      </c>
      <c r="G74" s="391">
        <f>F74*'Project Yield'!C$11</f>
        <v>0</v>
      </c>
    </row>
    <row r="75" spans="2:7" ht="18" customHeight="1" thickBot="1" x14ac:dyDescent="0.25">
      <c r="B75" s="308" t="s">
        <v>262</v>
      </c>
      <c r="C75" s="521"/>
      <c r="D75" s="309"/>
      <c r="E75" s="531"/>
      <c r="F75" s="532">
        <f>SUM(F72:F74)</f>
        <v>0</v>
      </c>
      <c r="G75" s="533">
        <f>SUM(G72:G74)</f>
        <v>0</v>
      </c>
    </row>
    <row r="76" spans="2:7" ht="18" customHeight="1" x14ac:dyDescent="0.2">
      <c r="B76" s="253" t="s">
        <v>330</v>
      </c>
      <c r="C76" s="291" t="s">
        <v>50</v>
      </c>
      <c r="D76" s="291" t="s">
        <v>1</v>
      </c>
      <c r="E76" s="292" t="s">
        <v>2</v>
      </c>
      <c r="F76" s="261" t="s">
        <v>5</v>
      </c>
      <c r="G76" s="293" t="s">
        <v>15</v>
      </c>
    </row>
    <row r="77" spans="2:7" ht="18" customHeight="1" x14ac:dyDescent="0.2">
      <c r="B77" s="105" t="s">
        <v>83</v>
      </c>
      <c r="C77" s="502">
        <v>0</v>
      </c>
      <c r="D77" s="106" t="s">
        <v>74</v>
      </c>
      <c r="E77" s="491">
        <v>0</v>
      </c>
      <c r="F77" s="403">
        <f>C77*E77</f>
        <v>0</v>
      </c>
      <c r="G77" s="391">
        <f>F77*'Project Yield'!C$11</f>
        <v>0</v>
      </c>
    </row>
    <row r="78" spans="2:7" ht="18" customHeight="1" x14ac:dyDescent="0.2">
      <c r="B78" s="108" t="s">
        <v>26</v>
      </c>
      <c r="C78" s="502">
        <v>0</v>
      </c>
      <c r="D78" s="106"/>
      <c r="E78" s="491">
        <v>0</v>
      </c>
      <c r="F78" s="403">
        <f>C78*E78</f>
        <v>0</v>
      </c>
      <c r="G78" s="391">
        <f>F78*'Project Yield'!C$11</f>
        <v>0</v>
      </c>
    </row>
    <row r="79" spans="2:7" ht="18" customHeight="1" x14ac:dyDescent="0.2">
      <c r="B79" s="108" t="s">
        <v>26</v>
      </c>
      <c r="C79" s="502">
        <v>0</v>
      </c>
      <c r="D79" s="106"/>
      <c r="E79" s="491">
        <v>0</v>
      </c>
      <c r="F79" s="403">
        <f>C79*E79</f>
        <v>0</v>
      </c>
      <c r="G79" s="391">
        <f>F79*'Project Yield'!C$11</f>
        <v>0</v>
      </c>
    </row>
    <row r="80" spans="2:7" ht="18" customHeight="1" thickBot="1" x14ac:dyDescent="0.25">
      <c r="B80" s="158" t="s">
        <v>262</v>
      </c>
      <c r="C80" s="520"/>
      <c r="D80" s="115"/>
      <c r="E80" s="524"/>
      <c r="F80" s="493">
        <f>SUM(F77:F79)</f>
        <v>0</v>
      </c>
      <c r="G80" s="462">
        <f>SUM(G77:G79)</f>
        <v>0</v>
      </c>
    </row>
    <row r="81" spans="2:7" ht="18" customHeight="1" x14ac:dyDescent="0.2">
      <c r="B81" s="255" t="s">
        <v>75</v>
      </c>
      <c r="C81" s="305" t="s">
        <v>50</v>
      </c>
      <c r="D81" s="305" t="s">
        <v>1</v>
      </c>
      <c r="E81" s="299" t="s">
        <v>2</v>
      </c>
      <c r="F81" s="300" t="s">
        <v>5</v>
      </c>
      <c r="G81" s="301" t="s">
        <v>15</v>
      </c>
    </row>
    <row r="82" spans="2:7" ht="18" customHeight="1" x14ac:dyDescent="0.2">
      <c r="B82" s="108" t="s">
        <v>26</v>
      </c>
      <c r="C82" s="502">
        <v>0</v>
      </c>
      <c r="D82" s="106"/>
      <c r="E82" s="491">
        <v>0</v>
      </c>
      <c r="F82" s="403">
        <f>C82*E82</f>
        <v>0</v>
      </c>
      <c r="G82" s="391">
        <f>F82*'Project Yield'!C$11</f>
        <v>0</v>
      </c>
    </row>
    <row r="83" spans="2:7" ht="18" customHeight="1" x14ac:dyDescent="0.2">
      <c r="B83" s="108" t="s">
        <v>26</v>
      </c>
      <c r="C83" s="502">
        <v>0</v>
      </c>
      <c r="D83" s="106"/>
      <c r="E83" s="491">
        <v>0</v>
      </c>
      <c r="F83" s="403">
        <f>C83*E83</f>
        <v>0</v>
      </c>
      <c r="G83" s="391">
        <f>F83*'Project Yield'!C$11</f>
        <v>0</v>
      </c>
    </row>
    <row r="84" spans="2:7" ht="18" customHeight="1" x14ac:dyDescent="0.2">
      <c r="B84" s="108" t="s">
        <v>26</v>
      </c>
      <c r="C84" s="502">
        <v>0</v>
      </c>
      <c r="D84" s="106"/>
      <c r="E84" s="491">
        <v>0</v>
      </c>
      <c r="F84" s="403">
        <f>C84*E84</f>
        <v>0</v>
      </c>
      <c r="G84" s="391">
        <f>F84*'Project Yield'!C$11</f>
        <v>0</v>
      </c>
    </row>
    <row r="85" spans="2:7" ht="18" customHeight="1" thickBot="1" x14ac:dyDescent="0.25">
      <c r="B85" s="158" t="s">
        <v>262</v>
      </c>
      <c r="C85" s="520"/>
      <c r="D85" s="115"/>
      <c r="E85" s="524"/>
      <c r="F85" s="493">
        <f>SUM(F82:F84)</f>
        <v>0</v>
      </c>
      <c r="G85" s="462">
        <f>SUM(G82:G84)</f>
        <v>0</v>
      </c>
    </row>
    <row r="86" spans="2:7" ht="18" customHeight="1" x14ac:dyDescent="0.2">
      <c r="F86" s="113"/>
      <c r="G86" s="113"/>
    </row>
    <row r="87" spans="2:7" ht="18" customHeight="1" x14ac:dyDescent="0.2">
      <c r="C87" s="111"/>
      <c r="D87" s="111"/>
      <c r="E87" s="608" t="s">
        <v>326</v>
      </c>
      <c r="F87" s="608"/>
      <c r="G87" s="528">
        <f>SUM(F18,F22,F34,F41,F50,F55,F60,F65,F70,F75,F80,F85)</f>
        <v>0</v>
      </c>
    </row>
    <row r="88" spans="2:7" ht="18" customHeight="1" x14ac:dyDescent="0.2">
      <c r="E88" s="608" t="s">
        <v>327</v>
      </c>
      <c r="F88" s="608"/>
      <c r="G88" s="528">
        <f>SUM(G18,G22,G34,G41,G50,G55,G60,G65,G70,G75,G80,G85)</f>
        <v>0</v>
      </c>
    </row>
  </sheetData>
  <sheetProtection selectLockedCells="1"/>
  <mergeCells count="14">
    <mergeCell ref="E87:F87"/>
    <mergeCell ref="E88:F88"/>
    <mergeCell ref="F11:F17"/>
    <mergeCell ref="B8:G8"/>
    <mergeCell ref="B44:G44"/>
    <mergeCell ref="B45:G45"/>
    <mergeCell ref="B9:G9"/>
    <mergeCell ref="I36:N36"/>
    <mergeCell ref="I34:N34"/>
    <mergeCell ref="B1:D1"/>
    <mergeCell ref="B3:J3"/>
    <mergeCell ref="I26:N26"/>
    <mergeCell ref="I31:N31"/>
    <mergeCell ref="E1:H1"/>
  </mergeCells>
  <phoneticPr fontId="38" type="noConversion"/>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C00000"/>
    <pageSetUpPr fitToPage="1"/>
  </sheetPr>
  <dimension ref="B1:N30"/>
  <sheetViews>
    <sheetView showGridLines="0" workbookViewId="0">
      <selection activeCell="C10" sqref="C10"/>
    </sheetView>
  </sheetViews>
  <sheetFormatPr baseColWidth="10" defaultColWidth="8.83203125" defaultRowHeight="15" x14ac:dyDescent="0.2"/>
  <cols>
    <col min="1" max="1" width="3.33203125" customWidth="1"/>
    <col min="2" max="2" width="33.5" customWidth="1"/>
    <col min="3" max="3" width="15.1640625" customWidth="1"/>
    <col min="4" max="4" width="1.5" style="17" customWidth="1"/>
    <col min="5" max="5" width="1.6640625" customWidth="1"/>
    <col min="6" max="7" width="15.33203125" customWidth="1"/>
    <col min="8" max="8" width="18.5" customWidth="1"/>
    <col min="9" max="11" width="15.1640625" customWidth="1"/>
    <col min="12" max="12" width="36.6640625" customWidth="1"/>
    <col min="13" max="13" width="15.1640625" customWidth="1"/>
    <col min="14" max="14" width="15" customWidth="1"/>
    <col min="15" max="16" width="15.1640625" customWidth="1"/>
  </cols>
  <sheetData>
    <row r="1" spans="2:14" ht="27" customHeight="1" thickBot="1" x14ac:dyDescent="0.3">
      <c r="B1" s="668" t="str">
        <f>"Crop Planning for "&amp;'Cut Flower 1'!$F$9</f>
        <v>Crop Planning for write crop name here</v>
      </c>
      <c r="C1" s="668"/>
      <c r="D1" s="668"/>
      <c r="E1" s="668"/>
      <c r="F1" s="668"/>
    </row>
    <row r="2" spans="2:14" ht="27" thickBot="1" x14ac:dyDescent="0.35">
      <c r="B2" s="609" t="s">
        <v>171</v>
      </c>
      <c r="C2" s="610"/>
      <c r="D2" s="61"/>
      <c r="E2" s="10"/>
    </row>
    <row r="3" spans="2:14" ht="16" thickBot="1" x14ac:dyDescent="0.25"/>
    <row r="4" spans="2:14" ht="24.75" customHeight="1" thickBot="1" x14ac:dyDescent="0.3">
      <c r="B4" s="675" t="str">
        <f>"Crop 1: "&amp;'Cut Flower 1'!F9</f>
        <v>Crop 1: write crop name here</v>
      </c>
      <c r="C4" s="676"/>
      <c r="D4" s="62"/>
      <c r="E4" s="17"/>
    </row>
    <row r="5" spans="2:14" ht="29.25" customHeight="1" x14ac:dyDescent="0.2">
      <c r="B5" s="4" t="s">
        <v>107</v>
      </c>
      <c r="C5" s="536">
        <f>'Project Income'!G48</f>
        <v>0</v>
      </c>
      <c r="D5" s="67"/>
      <c r="E5" s="679" t="s">
        <v>170</v>
      </c>
      <c r="F5" s="679"/>
      <c r="G5" s="679"/>
      <c r="H5" s="679"/>
      <c r="I5" s="679"/>
      <c r="J5" s="679"/>
      <c r="K5" s="679"/>
      <c r="L5" s="680"/>
    </row>
    <row r="6" spans="2:14" ht="29.25" customHeight="1" x14ac:dyDescent="0.2">
      <c r="B6" s="1" t="s">
        <v>106</v>
      </c>
      <c r="C6" s="537">
        <f>'Direct Labor Cost'!F58+'Direct Material Cost'!G88</f>
        <v>0</v>
      </c>
      <c r="D6" s="30"/>
      <c r="E6" s="677" t="s">
        <v>255</v>
      </c>
      <c r="F6" s="677"/>
      <c r="G6" s="677"/>
      <c r="H6" s="677"/>
      <c r="I6" s="677"/>
      <c r="J6" s="677"/>
      <c r="K6" s="677"/>
      <c r="L6" s="678"/>
    </row>
    <row r="7" spans="2:14" ht="29.25" customHeight="1" x14ac:dyDescent="0.2">
      <c r="B7" s="343" t="s">
        <v>254</v>
      </c>
      <c r="C7" s="538">
        <f>C5-C6</f>
        <v>0</v>
      </c>
      <c r="D7" s="52"/>
      <c r="E7" s="669" t="s">
        <v>346</v>
      </c>
      <c r="F7" s="669"/>
      <c r="G7" s="669"/>
      <c r="H7" s="669"/>
      <c r="I7" s="669"/>
      <c r="J7" s="669"/>
      <c r="K7" s="669"/>
      <c r="L7" s="670"/>
    </row>
    <row r="8" spans="2:14" ht="29.25" customHeight="1" thickBot="1" x14ac:dyDescent="0.25">
      <c r="B8" s="344" t="s">
        <v>19</v>
      </c>
      <c r="C8" s="345">
        <f>IFERROR(C7/C5,0)</f>
        <v>0</v>
      </c>
      <c r="D8" s="64"/>
      <c r="E8" s="671" t="s">
        <v>348</v>
      </c>
      <c r="F8" s="671"/>
      <c r="G8" s="671"/>
      <c r="H8" s="671"/>
      <c r="I8" s="671"/>
      <c r="J8" s="671"/>
      <c r="K8" s="671"/>
      <c r="L8" s="672"/>
    </row>
    <row r="9" spans="2:14" ht="29.25" customHeight="1" x14ac:dyDescent="0.2">
      <c r="B9" s="346" t="s">
        <v>109</v>
      </c>
      <c r="C9" s="539">
        <f>IFERROR(C6/'Project Income'!G47,0)</f>
        <v>0</v>
      </c>
      <c r="D9" s="65"/>
      <c r="E9" s="673" t="s">
        <v>352</v>
      </c>
      <c r="F9" s="673"/>
      <c r="G9" s="673"/>
      <c r="H9" s="673"/>
      <c r="I9" s="673"/>
      <c r="J9" s="673"/>
      <c r="K9" s="673"/>
      <c r="L9" s="674"/>
    </row>
    <row r="10" spans="2:14" ht="29.25" customHeight="1" x14ac:dyDescent="0.2">
      <c r="B10" s="343" t="s">
        <v>95</v>
      </c>
      <c r="C10" s="594" t="str">
        <f>'Project Income'!D6</f>
        <v>stem, bouquet, lbs, bucket, jar</v>
      </c>
      <c r="D10" s="63"/>
      <c r="E10" s="17"/>
      <c r="F10" s="681"/>
      <c r="G10" s="681"/>
      <c r="H10" s="681"/>
      <c r="I10" s="681"/>
      <c r="J10" s="681"/>
      <c r="K10" s="681"/>
      <c r="L10" s="682"/>
    </row>
    <row r="11" spans="2:14" ht="29.25" customHeight="1" x14ac:dyDescent="0.2">
      <c r="B11" s="343" t="s">
        <v>174</v>
      </c>
      <c r="C11" s="538">
        <f>IFERROR('Business Analysis'!E53,0)</f>
        <v>0</v>
      </c>
      <c r="D11" s="30"/>
      <c r="E11" s="669" t="s">
        <v>353</v>
      </c>
      <c r="F11" s="669"/>
      <c r="G11" s="669"/>
      <c r="H11" s="669"/>
      <c r="I11" s="669"/>
      <c r="J11" s="669"/>
      <c r="K11" s="669"/>
      <c r="L11" s="670"/>
    </row>
    <row r="12" spans="2:14" ht="29.25" customHeight="1" x14ac:dyDescent="0.2">
      <c r="B12" s="343" t="s">
        <v>168</v>
      </c>
      <c r="C12" s="323">
        <f>IFERROR(C11/C5,0)</f>
        <v>0</v>
      </c>
      <c r="D12" s="30"/>
      <c r="E12" s="669" t="s">
        <v>356</v>
      </c>
      <c r="F12" s="669"/>
      <c r="G12" s="669"/>
      <c r="H12" s="669"/>
      <c r="I12" s="669"/>
      <c r="J12" s="669"/>
      <c r="K12" s="669"/>
      <c r="L12" s="670"/>
    </row>
    <row r="13" spans="2:14" ht="29.25" customHeight="1" thickBot="1" x14ac:dyDescent="0.25">
      <c r="B13" s="347" t="s">
        <v>105</v>
      </c>
      <c r="C13" s="538">
        <f>IFERROR((C6+C11)/'Project Income'!G47,0)</f>
        <v>0</v>
      </c>
      <c r="D13" s="52"/>
      <c r="E13" s="681" t="s">
        <v>357</v>
      </c>
      <c r="F13" s="681"/>
      <c r="G13" s="681"/>
      <c r="H13" s="681"/>
      <c r="I13" s="681"/>
      <c r="J13" s="681"/>
      <c r="K13" s="681"/>
      <c r="L13" s="682"/>
    </row>
    <row r="14" spans="2:14" ht="29.25" customHeight="1" x14ac:dyDescent="0.2">
      <c r="B14" s="46" t="s">
        <v>345</v>
      </c>
      <c r="C14" s="536">
        <f>C7-C11</f>
        <v>0</v>
      </c>
      <c r="D14" s="65"/>
      <c r="E14" s="679" t="s">
        <v>333</v>
      </c>
      <c r="F14" s="679"/>
      <c r="G14" s="679"/>
      <c r="H14" s="679"/>
      <c r="I14" s="679"/>
      <c r="J14" s="679"/>
      <c r="K14" s="679"/>
      <c r="L14" s="680"/>
    </row>
    <row r="15" spans="2:14" ht="29.25" customHeight="1" x14ac:dyDescent="0.2">
      <c r="B15" s="47" t="s">
        <v>169</v>
      </c>
      <c r="C15" s="540">
        <f>IFERROR(C7/('Project Yield'!C9*'Project Yield'!C11),0)</f>
        <v>0</v>
      </c>
      <c r="D15" s="342"/>
      <c r="E15" s="681" t="s">
        <v>359</v>
      </c>
      <c r="F15" s="681"/>
      <c r="G15" s="681"/>
      <c r="H15" s="681"/>
      <c r="I15" s="681"/>
      <c r="J15" s="681"/>
      <c r="K15" s="681"/>
      <c r="L15" s="682"/>
      <c r="M15" s="60"/>
      <c r="N15" s="60"/>
    </row>
    <row r="16" spans="2:14" ht="29.25" customHeight="1" thickBot="1" x14ac:dyDescent="0.25">
      <c r="B16" s="50" t="s">
        <v>111</v>
      </c>
      <c r="C16" s="541">
        <f>IFERROR(C6/('Project Yield'!C9*'Project Yield'!C11),0)</f>
        <v>0</v>
      </c>
      <c r="D16" s="66"/>
      <c r="E16" s="671" t="s">
        <v>130</v>
      </c>
      <c r="F16" s="671"/>
      <c r="G16" s="671"/>
      <c r="H16" s="671"/>
      <c r="I16" s="671"/>
      <c r="J16" s="671"/>
      <c r="K16" s="671"/>
      <c r="L16" s="672"/>
      <c r="M16" s="60"/>
      <c r="N16" s="60"/>
    </row>
    <row r="17" ht="26.25" customHeight="1" x14ac:dyDescent="0.2"/>
    <row r="30" ht="10.5" customHeight="1" x14ac:dyDescent="0.2"/>
  </sheetData>
  <sheetProtection selectLockedCells="1"/>
  <mergeCells count="15">
    <mergeCell ref="E15:L15"/>
    <mergeCell ref="E16:L16"/>
    <mergeCell ref="E12:L12"/>
    <mergeCell ref="F10:L10"/>
    <mergeCell ref="E14:L14"/>
    <mergeCell ref="E13:L13"/>
    <mergeCell ref="B1:F1"/>
    <mergeCell ref="E7:L7"/>
    <mergeCell ref="E8:L8"/>
    <mergeCell ref="E9:L9"/>
    <mergeCell ref="E11:L11"/>
    <mergeCell ref="B2:C2"/>
    <mergeCell ref="B4:C4"/>
    <mergeCell ref="E6:L6"/>
    <mergeCell ref="E5:L5"/>
  </mergeCells>
  <phoneticPr fontId="38" type="noConversion"/>
  <pageMargins left="0.7" right="0.7" top="0.75" bottom="0.7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Q387"/>
  <sheetViews>
    <sheetView showGridLines="0" zoomScaleNormal="100" workbookViewId="0">
      <pane ySplit="2" topLeftCell="A48"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496">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6" x14ac:dyDescent="0.3">
      <c r="B51" s="589" t="s">
        <v>235</v>
      </c>
      <c r="C51" s="6"/>
    </row>
    <row r="52" spans="2:16" ht="18" customHeight="1" thickBot="1" x14ac:dyDescent="0.35">
      <c r="B52" s="590"/>
      <c r="C52" s="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86" t="str">
        <f>"Crop 2: "&amp;B2</f>
        <v>Crop 2: write name here</v>
      </c>
      <c r="C209" s="687"/>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Analysis'!E54,0)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E218:L218"/>
    <mergeCell ref="E219:L219"/>
    <mergeCell ref="E220:L220"/>
    <mergeCell ref="E221:L221"/>
    <mergeCell ref="E213:L213"/>
    <mergeCell ref="E214:L214"/>
    <mergeCell ref="F215:L215"/>
    <mergeCell ref="E216:L216"/>
    <mergeCell ref="E217:L217"/>
    <mergeCell ref="B207:C207"/>
    <mergeCell ref="B209:C209"/>
    <mergeCell ref="E210:L210"/>
    <mergeCell ref="E211:L211"/>
    <mergeCell ref="E212:L212"/>
    <mergeCell ref="B161:G161"/>
    <mergeCell ref="E203:F203"/>
    <mergeCell ref="E204:F204"/>
    <mergeCell ref="E2:H2"/>
    <mergeCell ref="D115:F115"/>
    <mergeCell ref="B124:G124"/>
    <mergeCell ref="B125:G125"/>
    <mergeCell ref="F127:F133"/>
    <mergeCell ref="D113:E113"/>
    <mergeCell ref="D114:E114"/>
    <mergeCell ref="B101:B102"/>
    <mergeCell ref="C101:D101"/>
    <mergeCell ref="E101:E102"/>
    <mergeCell ref="F101:F102"/>
    <mergeCell ref="B103:F103"/>
    <mergeCell ref="B91:B92"/>
    <mergeCell ref="I142:N142"/>
    <mergeCell ref="I147:N147"/>
    <mergeCell ref="I150:N150"/>
    <mergeCell ref="I152:N152"/>
    <mergeCell ref="B160:G160"/>
    <mergeCell ref="F91:F92"/>
    <mergeCell ref="B93:F93"/>
    <mergeCell ref="B65:B66"/>
    <mergeCell ref="C65:D65"/>
    <mergeCell ref="E65:E66"/>
    <mergeCell ref="F65:F66"/>
    <mergeCell ref="B78:B79"/>
    <mergeCell ref="C78:D78"/>
    <mergeCell ref="E78:E79"/>
    <mergeCell ref="F78:F79"/>
    <mergeCell ref="B4:C4"/>
    <mergeCell ref="B6:C6"/>
    <mergeCell ref="D6:E6"/>
    <mergeCell ref="B2:C2"/>
    <mergeCell ref="C91:D91"/>
    <mergeCell ref="E91:E92"/>
  </mergeCells>
  <phoneticPr fontId="38" type="noConversion"/>
  <pageMargins left="0.25" right="0.25" top="0.75" bottom="0.75" header="0.3" footer="0.3"/>
  <pageSetup scale="4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631B-7DA3-4E4D-A63E-B62F40227580}">
  <sheetPr>
    <tabColor rgb="FFFFFF99"/>
    <pageSetUpPr fitToPage="1"/>
  </sheetPr>
  <dimension ref="A1:Q387"/>
  <sheetViews>
    <sheetView showGridLines="0" zoomScaleNormal="100" workbookViewId="0">
      <pane ySplit="2" topLeftCell="A36"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491">
        <v>0</v>
      </c>
      <c r="D163" s="106"/>
      <c r="E163" s="491">
        <v>0</v>
      </c>
      <c r="F163" s="403">
        <f>C163*E163</f>
        <v>0</v>
      </c>
      <c r="G163" s="391">
        <f>F163*$C$57</f>
        <v>0</v>
      </c>
    </row>
    <row r="164" spans="2:7" s="78" customFormat="1" ht="18" customHeight="1" x14ac:dyDescent="0.2">
      <c r="B164" s="108" t="s">
        <v>26</v>
      </c>
      <c r="C164" s="491">
        <v>0</v>
      </c>
      <c r="D164" s="106"/>
      <c r="E164" s="491">
        <v>0</v>
      </c>
      <c r="F164" s="403">
        <f>C164*E164</f>
        <v>0</v>
      </c>
      <c r="G164" s="391">
        <f t="shared" ref="G164:G165" si="4">F164*$C$57</f>
        <v>0</v>
      </c>
    </row>
    <row r="165" spans="2:7" s="78" customFormat="1" ht="18" customHeight="1" x14ac:dyDescent="0.2">
      <c r="B165" s="108" t="s">
        <v>26</v>
      </c>
      <c r="C165" s="491">
        <v>0</v>
      </c>
      <c r="D165" s="106"/>
      <c r="E165" s="491">
        <v>0</v>
      </c>
      <c r="F165" s="403">
        <f>C165*E165</f>
        <v>0</v>
      </c>
      <c r="G165" s="391">
        <f t="shared" si="4"/>
        <v>0</v>
      </c>
    </row>
    <row r="166" spans="2:7" s="78" customFormat="1" ht="18" customHeight="1" thickBot="1" x14ac:dyDescent="0.25">
      <c r="B166" s="158" t="s">
        <v>262</v>
      </c>
      <c r="C166" s="524"/>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491">
        <v>0</v>
      </c>
      <c r="D168" s="106" t="s">
        <v>214</v>
      </c>
      <c r="E168" s="491">
        <v>0</v>
      </c>
      <c r="F168" s="403">
        <f>C168*E168</f>
        <v>0</v>
      </c>
      <c r="G168" s="391">
        <f>F168*$C$57</f>
        <v>0</v>
      </c>
    </row>
    <row r="169" spans="2:7" s="78" customFormat="1" ht="18" customHeight="1" x14ac:dyDescent="0.2">
      <c r="B169" s="108" t="s">
        <v>26</v>
      </c>
      <c r="C169" s="491">
        <v>0</v>
      </c>
      <c r="D169" s="106"/>
      <c r="E169" s="491">
        <v>0</v>
      </c>
      <c r="F169" s="403">
        <f>C169*E169</f>
        <v>0</v>
      </c>
      <c r="G169" s="391">
        <f t="shared" ref="G169:G170" si="5">F169*$C$57</f>
        <v>0</v>
      </c>
    </row>
    <row r="170" spans="2:7" s="78" customFormat="1" ht="18" customHeight="1" x14ac:dyDescent="0.2">
      <c r="B170" s="108" t="s">
        <v>26</v>
      </c>
      <c r="C170" s="491">
        <v>0</v>
      </c>
      <c r="D170" s="106"/>
      <c r="E170" s="491">
        <v>0</v>
      </c>
      <c r="F170" s="403">
        <f>C170*E170</f>
        <v>0</v>
      </c>
      <c r="G170" s="391">
        <f t="shared" si="5"/>
        <v>0</v>
      </c>
    </row>
    <row r="171" spans="2:7" s="78" customFormat="1" ht="18" customHeight="1" thickBot="1" x14ac:dyDescent="0.25">
      <c r="B171" s="308" t="s">
        <v>262</v>
      </c>
      <c r="C171" s="53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491">
        <v>0</v>
      </c>
      <c r="D173" s="106" t="s">
        <v>74</v>
      </c>
      <c r="E173" s="491">
        <v>0</v>
      </c>
      <c r="F173" s="403">
        <f>C173*E173</f>
        <v>0</v>
      </c>
      <c r="G173" s="391">
        <f>F173*$C$57</f>
        <v>0</v>
      </c>
    </row>
    <row r="174" spans="2:7" s="78" customFormat="1" ht="18" customHeight="1" x14ac:dyDescent="0.2">
      <c r="B174" s="108" t="s">
        <v>26</v>
      </c>
      <c r="C174" s="491">
        <v>0</v>
      </c>
      <c r="D174" s="106"/>
      <c r="E174" s="491">
        <v>0</v>
      </c>
      <c r="F174" s="403">
        <f>C174*E174</f>
        <v>0</v>
      </c>
      <c r="G174" s="391">
        <f t="shared" ref="G174:G175" si="6">F174*$C$57</f>
        <v>0</v>
      </c>
    </row>
    <row r="175" spans="2:7" s="78" customFormat="1" ht="18" customHeight="1" x14ac:dyDescent="0.2">
      <c r="B175" s="108" t="s">
        <v>26</v>
      </c>
      <c r="C175" s="491">
        <v>0</v>
      </c>
      <c r="D175" s="106"/>
      <c r="E175" s="491">
        <v>0</v>
      </c>
      <c r="F175" s="403">
        <f>C175*E175</f>
        <v>0</v>
      </c>
      <c r="G175" s="391">
        <f t="shared" si="6"/>
        <v>0</v>
      </c>
    </row>
    <row r="176" spans="2:7" s="78" customFormat="1" ht="18" customHeight="1" thickBot="1" x14ac:dyDescent="0.25">
      <c r="B176" s="158" t="s">
        <v>262</v>
      </c>
      <c r="C176" s="524"/>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491">
        <v>0</v>
      </c>
      <c r="D178" s="106" t="s">
        <v>74</v>
      </c>
      <c r="E178" s="491">
        <v>0</v>
      </c>
      <c r="F178" s="403">
        <f>C178*E178</f>
        <v>0</v>
      </c>
      <c r="G178" s="391">
        <f>F178*$C$57</f>
        <v>0</v>
      </c>
    </row>
    <row r="179" spans="2:7" s="78" customFormat="1" ht="18" customHeight="1" x14ac:dyDescent="0.2">
      <c r="B179" s="108" t="s">
        <v>26</v>
      </c>
      <c r="C179" s="491">
        <v>0</v>
      </c>
      <c r="D179" s="106"/>
      <c r="E179" s="491">
        <v>0</v>
      </c>
      <c r="F179" s="403">
        <f>C179*E179</f>
        <v>0</v>
      </c>
      <c r="G179" s="391">
        <f t="shared" ref="G179:G180" si="7">F179*$C$57</f>
        <v>0</v>
      </c>
    </row>
    <row r="180" spans="2:7" s="78" customFormat="1" ht="18" customHeight="1" x14ac:dyDescent="0.2">
      <c r="B180" s="108" t="s">
        <v>26</v>
      </c>
      <c r="C180" s="491">
        <v>0</v>
      </c>
      <c r="D180" s="106"/>
      <c r="E180" s="491">
        <v>0</v>
      </c>
      <c r="F180" s="403">
        <f>C180*E180</f>
        <v>0</v>
      </c>
      <c r="G180" s="391">
        <f t="shared" si="7"/>
        <v>0</v>
      </c>
    </row>
    <row r="181" spans="2:7" s="78" customFormat="1" ht="18" customHeight="1" x14ac:dyDescent="0.2">
      <c r="B181" s="152" t="s">
        <v>262</v>
      </c>
      <c r="C181" s="403"/>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491">
        <v>0</v>
      </c>
      <c r="D183" s="106" t="s">
        <v>74</v>
      </c>
      <c r="E183" s="491">
        <v>0</v>
      </c>
      <c r="F183" s="403">
        <f>C183*E183</f>
        <v>0</v>
      </c>
      <c r="G183" s="391">
        <f>F183*$C$57</f>
        <v>0</v>
      </c>
    </row>
    <row r="184" spans="2:7" s="78" customFormat="1" ht="18" customHeight="1" x14ac:dyDescent="0.2">
      <c r="B184" s="108" t="s">
        <v>26</v>
      </c>
      <c r="C184" s="491">
        <v>0</v>
      </c>
      <c r="D184" s="106"/>
      <c r="E184" s="491">
        <v>0</v>
      </c>
      <c r="F184" s="403">
        <f>C184*E184</f>
        <v>0</v>
      </c>
      <c r="G184" s="391">
        <f t="shared" ref="G184:G185" si="8">F184*$C$57</f>
        <v>0</v>
      </c>
    </row>
    <row r="185" spans="2:7" s="78" customFormat="1" ht="18" customHeight="1" x14ac:dyDescent="0.2">
      <c r="B185" s="108" t="s">
        <v>26</v>
      </c>
      <c r="C185" s="491">
        <v>0</v>
      </c>
      <c r="D185" s="106"/>
      <c r="E185" s="491">
        <v>0</v>
      </c>
      <c r="F185" s="403">
        <f>C185*E185</f>
        <v>0</v>
      </c>
      <c r="G185" s="391">
        <f t="shared" si="8"/>
        <v>0</v>
      </c>
    </row>
    <row r="186" spans="2:7" s="78" customFormat="1" ht="18" customHeight="1" x14ac:dyDescent="0.2">
      <c r="B186" s="152" t="s">
        <v>262</v>
      </c>
      <c r="C186" s="403"/>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491">
        <v>0</v>
      </c>
      <c r="D188" s="106" t="s">
        <v>74</v>
      </c>
      <c r="E188" s="491">
        <v>0</v>
      </c>
      <c r="F188" s="403">
        <f>C188*E188</f>
        <v>0</v>
      </c>
      <c r="G188" s="391">
        <f>F188*$C$57</f>
        <v>0</v>
      </c>
    </row>
    <row r="189" spans="2:7" s="78" customFormat="1" ht="18" customHeight="1" x14ac:dyDescent="0.2">
      <c r="B189" s="108" t="s">
        <v>26</v>
      </c>
      <c r="C189" s="491">
        <v>0</v>
      </c>
      <c r="D189" s="106"/>
      <c r="E189" s="491">
        <v>0</v>
      </c>
      <c r="F189" s="403">
        <f>C189*E189</f>
        <v>0</v>
      </c>
      <c r="G189" s="391">
        <f t="shared" ref="G189:G190" si="9">F189*$C$57</f>
        <v>0</v>
      </c>
    </row>
    <row r="190" spans="2:7" s="78" customFormat="1" ht="18" customHeight="1" x14ac:dyDescent="0.2">
      <c r="B190" s="108" t="s">
        <v>26</v>
      </c>
      <c r="C190" s="491">
        <v>0</v>
      </c>
      <c r="D190" s="106"/>
      <c r="E190" s="491">
        <v>0</v>
      </c>
      <c r="F190" s="403">
        <f>C190*E190</f>
        <v>0</v>
      </c>
      <c r="G190" s="391">
        <f t="shared" si="9"/>
        <v>0</v>
      </c>
    </row>
    <row r="191" spans="2:7" s="78" customFormat="1" ht="18" customHeight="1" thickBot="1" x14ac:dyDescent="0.25">
      <c r="B191" s="308" t="s">
        <v>262</v>
      </c>
      <c r="C191" s="53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491">
        <v>0</v>
      </c>
      <c r="D193" s="106" t="s">
        <v>74</v>
      </c>
      <c r="E193" s="491">
        <v>0</v>
      </c>
      <c r="F193" s="403">
        <f>C193*E193</f>
        <v>0</v>
      </c>
      <c r="G193" s="391">
        <f>F193*$C$57</f>
        <v>0</v>
      </c>
    </row>
    <row r="194" spans="2:10" s="78" customFormat="1" ht="18" customHeight="1" x14ac:dyDescent="0.2">
      <c r="B194" s="108" t="s">
        <v>26</v>
      </c>
      <c r="C194" s="491">
        <v>0</v>
      </c>
      <c r="D194" s="106"/>
      <c r="E194" s="491">
        <v>0</v>
      </c>
      <c r="F194" s="403">
        <f>C194*E194</f>
        <v>0</v>
      </c>
      <c r="G194" s="391">
        <f t="shared" ref="G194:G195" si="10">F194*$C$57</f>
        <v>0</v>
      </c>
    </row>
    <row r="195" spans="2:10" s="78" customFormat="1" ht="18" customHeight="1" x14ac:dyDescent="0.2">
      <c r="B195" s="108" t="s">
        <v>26</v>
      </c>
      <c r="C195" s="491">
        <v>0</v>
      </c>
      <c r="D195" s="106"/>
      <c r="E195" s="491">
        <v>0</v>
      </c>
      <c r="F195" s="403">
        <f>C195*E195</f>
        <v>0</v>
      </c>
      <c r="G195" s="391">
        <f t="shared" si="10"/>
        <v>0</v>
      </c>
    </row>
    <row r="196" spans="2:10" s="78" customFormat="1" ht="18" customHeight="1" thickBot="1" x14ac:dyDescent="0.25">
      <c r="B196" s="158" t="s">
        <v>262</v>
      </c>
      <c r="C196" s="524"/>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491">
        <v>0</v>
      </c>
      <c r="D198" s="106"/>
      <c r="E198" s="491">
        <v>0</v>
      </c>
      <c r="F198" s="403">
        <f>C198*E198</f>
        <v>0</v>
      </c>
      <c r="G198" s="391">
        <f>F198*$C$57</f>
        <v>0</v>
      </c>
    </row>
    <row r="199" spans="2:10" s="78" customFormat="1" ht="18" customHeight="1" x14ac:dyDescent="0.2">
      <c r="B199" s="108" t="s">
        <v>26</v>
      </c>
      <c r="C199" s="491">
        <v>0</v>
      </c>
      <c r="D199" s="106"/>
      <c r="E199" s="491">
        <v>0</v>
      </c>
      <c r="F199" s="403">
        <f>C199*E199</f>
        <v>0</v>
      </c>
      <c r="G199" s="391">
        <f t="shared" ref="G199:G200" si="11">F199*$C$57</f>
        <v>0</v>
      </c>
    </row>
    <row r="200" spans="2:10" s="78" customFormat="1" ht="18" customHeight="1" x14ac:dyDescent="0.2">
      <c r="B200" s="108" t="s">
        <v>26</v>
      </c>
      <c r="C200" s="491">
        <v>0</v>
      </c>
      <c r="D200" s="106"/>
      <c r="E200" s="491">
        <v>0</v>
      </c>
      <c r="F200" s="403">
        <f>C200*E200</f>
        <v>0</v>
      </c>
      <c r="G200" s="391">
        <f t="shared" si="11"/>
        <v>0</v>
      </c>
    </row>
    <row r="201" spans="2:10" s="78" customFormat="1" ht="18" customHeight="1" thickBot="1" x14ac:dyDescent="0.25">
      <c r="B201" s="158" t="s">
        <v>262</v>
      </c>
      <c r="C201" s="524"/>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89" t="str">
        <f>"Crop 3: "&amp;B2</f>
        <v>Crop 3: write name here</v>
      </c>
      <c r="C209" s="690"/>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Analysis'!E55,0)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E218:L218"/>
    <mergeCell ref="E219:L219"/>
    <mergeCell ref="E220:L220"/>
    <mergeCell ref="E221:L221"/>
    <mergeCell ref="E212:L212"/>
    <mergeCell ref="E213:L213"/>
    <mergeCell ref="E214:L214"/>
    <mergeCell ref="F215:L215"/>
    <mergeCell ref="E216:L216"/>
    <mergeCell ref="E217:L217"/>
    <mergeCell ref="E211:L211"/>
    <mergeCell ref="I142:N142"/>
    <mergeCell ref="I147:N147"/>
    <mergeCell ref="I150:N150"/>
    <mergeCell ref="I152:N152"/>
    <mergeCell ref="B160:G160"/>
    <mergeCell ref="B161:G161"/>
    <mergeCell ref="E203:F203"/>
    <mergeCell ref="E204:F204"/>
    <mergeCell ref="B207:C207"/>
    <mergeCell ref="B209:C209"/>
    <mergeCell ref="E210:L210"/>
    <mergeCell ref="F127:F133"/>
    <mergeCell ref="B93:F93"/>
    <mergeCell ref="B101:B102"/>
    <mergeCell ref="C101:D101"/>
    <mergeCell ref="E101:E102"/>
    <mergeCell ref="F101:F102"/>
    <mergeCell ref="B103:F103"/>
    <mergeCell ref="D113:E113"/>
    <mergeCell ref="D114:E114"/>
    <mergeCell ref="D115:F115"/>
    <mergeCell ref="B124:G124"/>
    <mergeCell ref="B125:G125"/>
    <mergeCell ref="B78:B79"/>
    <mergeCell ref="C78:D78"/>
    <mergeCell ref="E78:E79"/>
    <mergeCell ref="F78:F79"/>
    <mergeCell ref="B91:B92"/>
    <mergeCell ref="C91:D91"/>
    <mergeCell ref="E91:E92"/>
    <mergeCell ref="F91:F92"/>
    <mergeCell ref="B65:B66"/>
    <mergeCell ref="C65:D65"/>
    <mergeCell ref="E65:E66"/>
    <mergeCell ref="F65:F66"/>
    <mergeCell ref="B2:C2"/>
    <mergeCell ref="E2:H2"/>
    <mergeCell ref="B4:C4"/>
    <mergeCell ref="B6:C6"/>
    <mergeCell ref="D6:E6"/>
  </mergeCells>
  <phoneticPr fontId="38" type="noConversion"/>
  <pageMargins left="0.25" right="0.25" top="0.75" bottom="0.75" header="0.3" footer="0.3"/>
  <pageSetup scale="4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D231-2FD7-064B-B59E-3655A9482CBE}">
  <sheetPr>
    <tabColor rgb="FF92D050"/>
    <pageSetUpPr fitToPage="1"/>
  </sheetPr>
  <dimension ref="A1:Q387"/>
  <sheetViews>
    <sheetView showGridLines="0" zoomScaleNormal="100" workbookViewId="0">
      <pane ySplit="2" topLeftCell="A43" activePane="bottomLeft" state="frozen"/>
      <selection activeCell="H27" sqref="H27"/>
      <selection pane="bottomLeft" activeCell="C59" sqref="C59"/>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496">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49"/>
      <c r="K115" s="32"/>
    </row>
    <row r="116" spans="2:15" ht="18" customHeight="1" x14ac:dyDescent="0.3">
      <c r="B116" s="10"/>
      <c r="C116" s="10"/>
      <c r="D116" s="280"/>
      <c r="E116" s="281" t="s">
        <v>146</v>
      </c>
      <c r="F116" s="550">
        <f>' Labor Overheads'!$C$31</f>
        <v>0</v>
      </c>
      <c r="J116" s="23"/>
    </row>
    <row r="117" spans="2:15" ht="18" customHeight="1" x14ac:dyDescent="0.3">
      <c r="B117" s="10"/>
      <c r="C117" s="10"/>
      <c r="D117" s="280"/>
      <c r="E117" s="281" t="s">
        <v>149</v>
      </c>
      <c r="F117" s="550">
        <f>' Labor Overheads'!$C$15</f>
        <v>0</v>
      </c>
      <c r="J117" s="23"/>
    </row>
    <row r="118" spans="2:15" ht="18" customHeight="1" x14ac:dyDescent="0.3">
      <c r="B118" s="10"/>
      <c r="C118" s="10"/>
      <c r="D118" s="280"/>
      <c r="E118" s="282" t="s">
        <v>163</v>
      </c>
      <c r="F118" s="551">
        <f>C110*F116</f>
        <v>0</v>
      </c>
      <c r="J118" s="23"/>
    </row>
    <row r="119" spans="2:15" ht="18" customHeight="1" thickBot="1" x14ac:dyDescent="0.35">
      <c r="B119" s="10"/>
      <c r="C119" s="10"/>
      <c r="D119" s="283"/>
      <c r="E119" s="284" t="s">
        <v>164</v>
      </c>
      <c r="F119" s="552">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91" t="str">
        <f>"Crop 4: "&amp;B2</f>
        <v>Crop 4: write name here</v>
      </c>
      <c r="C209" s="692"/>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Analysis'!E56,0)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57EE-1937-5241-9808-6DB47C066A86}">
  <sheetPr>
    <tabColor theme="6" tint="-0.499984740745262"/>
    <pageSetUpPr fitToPage="1"/>
  </sheetPr>
  <dimension ref="A1:Q387"/>
  <sheetViews>
    <sheetView showGridLines="0" zoomScaleNormal="100" workbookViewId="0">
      <pane ySplit="2" topLeftCell="A33"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93" t="str">
        <f>"Crop 5: "&amp;B2</f>
        <v>Crop 5: write name here</v>
      </c>
      <c r="C209" s="694"/>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Analysis'!E57,0)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9947-CC49-8B4C-9543-F6527751787A}">
  <sheetPr>
    <tabColor theme="3" tint="0.79998168889431442"/>
    <pageSetUpPr fitToPage="1"/>
  </sheetPr>
  <dimension ref="A1:Q387"/>
  <sheetViews>
    <sheetView showGridLines="0" zoomScaleNormal="100" workbookViewId="0">
      <pane ySplit="2" topLeftCell="A46"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95" t="str">
        <f>"Crop 6: "&amp;B2</f>
        <v>Crop 6: write name here</v>
      </c>
      <c r="C209" s="696"/>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Analysis'!E58,0)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BC96-8FD8-E34F-8515-D719136E4609}">
  <sheetPr>
    <tabColor theme="3" tint="0.39997558519241921"/>
    <pageSetUpPr fitToPage="1"/>
  </sheetPr>
  <dimension ref="A1:Q387"/>
  <sheetViews>
    <sheetView showGridLines="0" zoomScaleNormal="100" workbookViewId="0">
      <pane ySplit="2" topLeftCell="A48"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50">
        <f>' Labor Overheads'!$C$31</f>
        <v>0</v>
      </c>
      <c r="J116" s="23"/>
    </row>
    <row r="117" spans="2:15" ht="18" customHeight="1" x14ac:dyDescent="0.3">
      <c r="B117" s="10"/>
      <c r="C117" s="10"/>
      <c r="D117" s="280"/>
      <c r="E117" s="281" t="s">
        <v>149</v>
      </c>
      <c r="F117" s="550">
        <f>' Labor Overheads'!$C$15</f>
        <v>0</v>
      </c>
      <c r="J117" s="23"/>
    </row>
    <row r="118" spans="2:15" ht="18" customHeight="1" x14ac:dyDescent="0.3">
      <c r="B118" s="10"/>
      <c r="C118" s="10"/>
      <c r="D118" s="280"/>
      <c r="E118" s="282" t="s">
        <v>163</v>
      </c>
      <c r="F118" s="551">
        <f>C110*F116</f>
        <v>0</v>
      </c>
      <c r="J118" s="23"/>
    </row>
    <row r="119" spans="2:15" ht="18" customHeight="1" thickBot="1" x14ac:dyDescent="0.35">
      <c r="B119" s="10"/>
      <c r="C119" s="10"/>
      <c r="D119" s="283"/>
      <c r="E119" s="284" t="s">
        <v>164</v>
      </c>
      <c r="F119" s="552">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97" t="str">
        <f>"Crop 7: "&amp;B2</f>
        <v>Crop 7: write name here</v>
      </c>
      <c r="C209" s="698"/>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Analysis'!E59,0)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0D23-1B31-9442-AAD2-98F9BAD9A7D0}">
  <sheetPr>
    <tabColor rgb="FFC981BA"/>
    <pageSetUpPr fitToPage="1"/>
  </sheetPr>
  <dimension ref="A1:Q387"/>
  <sheetViews>
    <sheetView showGridLines="0" zoomScaleNormal="100" workbookViewId="0">
      <pane ySplit="2" topLeftCell="A47"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553"/>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699" t="str">
        <f>"Crop 8: "&amp;B2</f>
        <v>Crop 8: write name here</v>
      </c>
      <c r="C209" s="700"/>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Analysis'!E60,0)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D1D3-73B3-9743-8EF2-C97C5807928F}">
  <sheetPr>
    <tabColor rgb="FF7030A0"/>
    <pageSetUpPr fitToPage="1"/>
  </sheetPr>
  <dimension ref="A1:Q387"/>
  <sheetViews>
    <sheetView showGridLines="0" zoomScaleNormal="100" workbookViewId="0">
      <pane ySplit="2" topLeftCell="A43" activePane="bottomLeft" state="frozen"/>
      <selection activeCell="H27" sqref="H27"/>
      <selection pane="bottomLeft" activeCell="C58" sqref="C58"/>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292" t="s">
        <v>2</v>
      </c>
      <c r="F139" s="261" t="s">
        <v>5</v>
      </c>
      <c r="G139" s="293"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701" t="str">
        <f>"Crop 9: "&amp;B2</f>
        <v>Crop 9: write name here</v>
      </c>
      <c r="C209" s="702"/>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Analysis'!E61,0)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3AB7-61C1-F646-9AA0-2CAC50ADD822}">
  <sheetPr>
    <tabColor rgb="FF00B0F0"/>
    <pageSetUpPr fitToPage="1"/>
  </sheetPr>
  <dimension ref="B1:S27"/>
  <sheetViews>
    <sheetView showGridLines="0" zoomScaleNormal="100" workbookViewId="0">
      <pane ySplit="2" topLeftCell="A3" activePane="bottomLeft" state="frozen"/>
      <selection pane="bottomLeft" activeCell="E21" sqref="E21"/>
    </sheetView>
  </sheetViews>
  <sheetFormatPr baseColWidth="10" defaultColWidth="8.83203125" defaultRowHeight="18" x14ac:dyDescent="0.2"/>
  <cols>
    <col min="1" max="1" width="3.33203125" style="11" customWidth="1"/>
    <col min="2" max="2" width="48.6640625" style="11" customWidth="1"/>
    <col min="3" max="3" width="20" style="11" customWidth="1"/>
    <col min="4" max="4" width="14.33203125" style="11" customWidth="1"/>
    <col min="5" max="5" width="25.33203125" style="11" customWidth="1"/>
    <col min="6" max="6" width="10.83203125" style="11" customWidth="1"/>
    <col min="7" max="16384" width="8.83203125" style="11"/>
  </cols>
  <sheetData>
    <row r="1" spans="2:16" ht="10" customHeight="1" thickBot="1" x14ac:dyDescent="0.25"/>
    <row r="2" spans="2:16" s="78" customFormat="1" ht="27" customHeight="1" thickBot="1" x14ac:dyDescent="0.35">
      <c r="B2" s="35" t="s">
        <v>261</v>
      </c>
      <c r="D2" s="601" t="s">
        <v>89</v>
      </c>
      <c r="E2" s="601"/>
      <c r="F2" s="601"/>
      <c r="G2" s="601"/>
      <c r="H2" s="213"/>
    </row>
    <row r="3" spans="2:16" ht="18" customHeight="1" x14ac:dyDescent="0.2">
      <c r="B3" s="193"/>
      <c r="C3" s="193"/>
      <c r="D3" s="193"/>
      <c r="E3" s="193"/>
      <c r="F3" s="193"/>
      <c r="G3" s="193"/>
      <c r="H3" s="193"/>
      <c r="I3" s="193"/>
      <c r="J3" s="193"/>
      <c r="K3" s="193"/>
      <c r="L3" s="193"/>
      <c r="M3" s="193"/>
      <c r="N3" s="193"/>
      <c r="O3" s="193"/>
      <c r="P3" s="193"/>
    </row>
    <row r="4" spans="2:16" ht="18" customHeight="1" x14ac:dyDescent="0.2">
      <c r="B4" s="193"/>
      <c r="C4" s="193"/>
      <c r="D4" s="193"/>
      <c r="E4" s="193"/>
      <c r="F4" s="193"/>
      <c r="G4" s="193"/>
      <c r="H4" s="193"/>
      <c r="I4" s="193"/>
      <c r="J4" s="193"/>
      <c r="K4" s="193"/>
      <c r="L4" s="193"/>
      <c r="M4" s="193"/>
      <c r="N4" s="193"/>
      <c r="O4" s="193"/>
      <c r="P4" s="193"/>
    </row>
    <row r="5" spans="2:16" ht="18" customHeight="1" x14ac:dyDescent="0.2">
      <c r="B5" s="193"/>
      <c r="C5" s="193"/>
      <c r="D5" s="193"/>
      <c r="E5" s="193"/>
      <c r="F5" s="193"/>
      <c r="G5" s="193"/>
      <c r="H5" s="193"/>
      <c r="I5" s="193"/>
      <c r="J5" s="193"/>
      <c r="K5" s="193"/>
      <c r="L5" s="193"/>
      <c r="M5" s="193"/>
      <c r="N5" s="193"/>
      <c r="O5" s="193"/>
      <c r="P5" s="193"/>
    </row>
    <row r="6" spans="2:16" ht="18" customHeight="1" x14ac:dyDescent="0.2">
      <c r="B6" s="193"/>
      <c r="C6" s="193"/>
      <c r="D6" s="193"/>
      <c r="E6" s="193"/>
      <c r="F6" s="193"/>
      <c r="G6" s="193"/>
      <c r="H6" s="193"/>
      <c r="I6" s="193"/>
      <c r="J6" s="193"/>
      <c r="K6" s="193"/>
      <c r="L6" s="193"/>
      <c r="M6" s="193"/>
      <c r="N6" s="193"/>
      <c r="O6" s="193"/>
      <c r="P6" s="193"/>
    </row>
    <row r="7" spans="2:16" ht="18" customHeight="1" thickBot="1" x14ac:dyDescent="0.25">
      <c r="B7" s="193"/>
      <c r="C7" s="193"/>
      <c r="D7" s="193"/>
      <c r="E7" s="193"/>
      <c r="F7" s="193"/>
      <c r="G7" s="193"/>
      <c r="H7" s="193"/>
      <c r="I7" s="193"/>
      <c r="J7" s="193"/>
      <c r="K7" s="193"/>
      <c r="L7" s="193"/>
      <c r="M7" s="193"/>
      <c r="N7" s="193"/>
      <c r="O7" s="193"/>
      <c r="P7" s="193"/>
    </row>
    <row r="8" spans="2:16" ht="18" customHeight="1" thickBot="1" x14ac:dyDescent="0.25">
      <c r="B8" s="595" t="s">
        <v>256</v>
      </c>
      <c r="C8" s="596"/>
      <c r="D8" s="597"/>
    </row>
    <row r="9" spans="2:16" ht="18" customHeight="1" x14ac:dyDescent="0.2">
      <c r="B9" s="332" t="s">
        <v>336</v>
      </c>
      <c r="C9" s="333" t="s">
        <v>281</v>
      </c>
      <c r="D9" s="334" t="s">
        <v>337</v>
      </c>
    </row>
    <row r="10" spans="2:16" ht="18" customHeight="1" x14ac:dyDescent="0.2">
      <c r="B10" s="127" t="s">
        <v>263</v>
      </c>
      <c r="C10" s="469">
        <v>0</v>
      </c>
      <c r="D10" s="179">
        <f>IFERROR(C10/$C$14,0)</f>
        <v>0</v>
      </c>
    </row>
    <row r="11" spans="2:16" ht="18" customHeight="1" x14ac:dyDescent="0.2">
      <c r="B11" s="127" t="s">
        <v>257</v>
      </c>
      <c r="C11" s="469">
        <v>0</v>
      </c>
      <c r="D11" s="179">
        <f t="shared" ref="D11:D14" si="0">IFERROR(C11/$C$14,0)</f>
        <v>0</v>
      </c>
    </row>
    <row r="12" spans="2:16" ht="18" customHeight="1" x14ac:dyDescent="0.2">
      <c r="B12" s="127" t="s">
        <v>258</v>
      </c>
      <c r="C12" s="469">
        <v>0</v>
      </c>
      <c r="D12" s="179">
        <f t="shared" si="0"/>
        <v>0</v>
      </c>
    </row>
    <row r="13" spans="2:16" ht="18" customHeight="1" x14ac:dyDescent="0.2">
      <c r="B13" s="127" t="s">
        <v>259</v>
      </c>
      <c r="C13" s="469">
        <v>0</v>
      </c>
      <c r="D13" s="179">
        <f t="shared" si="0"/>
        <v>0</v>
      </c>
    </row>
    <row r="14" spans="2:16" ht="18" customHeight="1" thickBot="1" x14ac:dyDescent="0.25">
      <c r="B14" s="158" t="s">
        <v>260</v>
      </c>
      <c r="C14" s="470">
        <f>SUM(C10:C13)</f>
        <v>0</v>
      </c>
      <c r="D14" s="199">
        <f t="shared" si="0"/>
        <v>0</v>
      </c>
    </row>
    <row r="15" spans="2:16" ht="18" customHeight="1" thickBot="1" x14ac:dyDescent="0.25">
      <c r="B15" s="140"/>
      <c r="C15" s="194"/>
      <c r="D15" s="195"/>
    </row>
    <row r="16" spans="2:16" ht="18" customHeight="1" thickBot="1" x14ac:dyDescent="0.25">
      <c r="B16" s="598" t="s">
        <v>285</v>
      </c>
      <c r="C16" s="599"/>
      <c r="D16" s="599"/>
      <c r="E16" s="600"/>
    </row>
    <row r="17" spans="2:19" ht="18" customHeight="1" x14ac:dyDescent="0.2">
      <c r="B17" s="332" t="s">
        <v>338</v>
      </c>
      <c r="C17" s="333" t="s">
        <v>286</v>
      </c>
      <c r="D17" s="333" t="s">
        <v>287</v>
      </c>
      <c r="E17" s="334" t="s">
        <v>332</v>
      </c>
    </row>
    <row r="18" spans="2:19" ht="18" customHeight="1" x14ac:dyDescent="0.2">
      <c r="B18" s="200" t="s">
        <v>288</v>
      </c>
      <c r="C18" s="198">
        <v>0</v>
      </c>
      <c r="D18" s="197">
        <v>0</v>
      </c>
      <c r="E18" s="204">
        <f>C18*D18</f>
        <v>0</v>
      </c>
    </row>
    <row r="19" spans="2:19" ht="18" customHeight="1" x14ac:dyDescent="0.2">
      <c r="B19" s="200" t="s">
        <v>199</v>
      </c>
      <c r="C19" s="198">
        <v>0</v>
      </c>
      <c r="D19" s="197">
        <v>0</v>
      </c>
      <c r="E19" s="204">
        <f t="shared" ref="E19:E20" si="1">C19*D19</f>
        <v>0</v>
      </c>
    </row>
    <row r="20" spans="2:19" ht="18" customHeight="1" x14ac:dyDescent="0.2">
      <c r="B20" s="200" t="s">
        <v>199</v>
      </c>
      <c r="C20" s="198">
        <v>0</v>
      </c>
      <c r="D20" s="197">
        <v>0</v>
      </c>
      <c r="E20" s="204">
        <f t="shared" si="1"/>
        <v>0</v>
      </c>
    </row>
    <row r="21" spans="2:19" ht="18" customHeight="1" x14ac:dyDescent="0.2">
      <c r="B21" s="200" t="s">
        <v>199</v>
      </c>
      <c r="C21" s="198">
        <v>0</v>
      </c>
      <c r="D21" s="197">
        <v>0</v>
      </c>
      <c r="E21" s="592">
        <v>0</v>
      </c>
    </row>
    <row r="22" spans="2:19" ht="18" customHeight="1" thickBot="1" x14ac:dyDescent="0.25">
      <c r="B22" s="158" t="s">
        <v>262</v>
      </c>
      <c r="C22" s="205">
        <f>SUM(C18:C21)</f>
        <v>0</v>
      </c>
      <c r="D22" s="159"/>
      <c r="E22" s="206">
        <f>SUM(E18:E21)</f>
        <v>0</v>
      </c>
    </row>
    <row r="23" spans="2:19" s="85" customFormat="1" ht="18" customHeight="1" x14ac:dyDescent="0.2">
      <c r="B23" s="11"/>
      <c r="C23" s="11"/>
      <c r="D23" s="11"/>
      <c r="E23" s="11"/>
      <c r="F23" s="11"/>
      <c r="G23" s="11"/>
      <c r="H23" s="11"/>
    </row>
    <row r="24" spans="2:19" ht="18" customHeight="1" x14ac:dyDescent="0.2"/>
    <row r="25" spans="2:19" ht="18" customHeight="1" x14ac:dyDescent="0.2">
      <c r="I25" s="85"/>
      <c r="J25" s="85"/>
      <c r="K25" s="85"/>
      <c r="L25" s="85"/>
      <c r="M25" s="85"/>
      <c r="N25" s="85"/>
      <c r="O25" s="85"/>
      <c r="P25" s="85"/>
      <c r="Q25" s="85"/>
      <c r="R25" s="85"/>
      <c r="S25" s="196"/>
    </row>
    <row r="26" spans="2:19" ht="18" customHeight="1" x14ac:dyDescent="0.2"/>
    <row r="27" spans="2:19" ht="18" customHeight="1" x14ac:dyDescent="0.2"/>
  </sheetData>
  <sheetProtection selectLockedCells="1"/>
  <mergeCells count="3">
    <mergeCell ref="B8:D8"/>
    <mergeCell ref="B16:E16"/>
    <mergeCell ref="D2:G2"/>
  </mergeCells>
  <phoneticPr fontId="38" type="noConversion"/>
  <pageMargins left="0.7" right="0.7" top="0.75" bottom="0.75" header="0.3" footer="0.3"/>
  <pageSetup scale="4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754B-CB9C-314D-94BF-4AA3204B8A4F}">
  <sheetPr>
    <tabColor theme="9" tint="-0.499984740745262"/>
    <pageSetUpPr fitToPage="1"/>
  </sheetPr>
  <dimension ref="A1:Q387"/>
  <sheetViews>
    <sheetView showGridLines="0" zoomScaleNormal="100" workbookViewId="0">
      <pane ySplit="2" topLeftCell="A43" activePane="bottomLeft" state="frozen"/>
      <selection activeCell="H27" sqref="H27"/>
      <selection pane="bottomLeft" activeCell="I67" sqref="I67"/>
    </sheetView>
  </sheetViews>
  <sheetFormatPr baseColWidth="10" defaultColWidth="8.83203125" defaultRowHeight="15" x14ac:dyDescent="0.2"/>
  <cols>
    <col min="1" max="1" width="5" customWidth="1"/>
    <col min="2" max="2" width="51.6640625" customWidth="1"/>
    <col min="3" max="8" width="18.6640625" customWidth="1"/>
    <col min="9" max="9" width="10.6640625" customWidth="1"/>
    <col min="10" max="10" width="28" customWidth="1"/>
    <col min="11" max="11" width="11" customWidth="1"/>
    <col min="12" max="12" width="12" customWidth="1"/>
    <col min="14" max="14" width="12.5" customWidth="1"/>
    <col min="15" max="15" width="14.1640625" customWidth="1"/>
    <col min="16" max="16" width="20.33203125" customWidth="1"/>
    <col min="17" max="17" width="15.83203125" customWidth="1"/>
  </cols>
  <sheetData>
    <row r="1" spans="1:11" ht="12" customHeight="1" thickBot="1" x14ac:dyDescent="0.25"/>
    <row r="2" spans="1:11" ht="29" thickBot="1" x14ac:dyDescent="0.35">
      <c r="A2" s="75" t="s">
        <v>172</v>
      </c>
      <c r="B2" s="683" t="s">
        <v>25</v>
      </c>
      <c r="C2" s="684"/>
      <c r="E2" s="685" t="s">
        <v>89</v>
      </c>
      <c r="F2" s="685"/>
      <c r="G2" s="685"/>
      <c r="H2" s="685"/>
      <c r="I2" s="53"/>
    </row>
    <row r="3" spans="1:11" s="17" customFormat="1" ht="10" customHeight="1" thickBot="1" x14ac:dyDescent="0.35">
      <c r="B3" s="351"/>
      <c r="C3" s="351"/>
      <c r="D3" s="41"/>
      <c r="E3" s="41"/>
      <c r="F3" s="41"/>
      <c r="G3" s="41"/>
      <c r="H3" s="41"/>
      <c r="I3" s="41"/>
      <c r="J3" s="27"/>
      <c r="K3" s="42"/>
    </row>
    <row r="4" spans="1:11" ht="27" thickBot="1" x14ac:dyDescent="0.35">
      <c r="B4" s="609" t="s">
        <v>236</v>
      </c>
      <c r="C4" s="610"/>
      <c r="H4" s="45"/>
    </row>
    <row r="5" spans="1:11" ht="18" customHeight="1" thickBot="1" x14ac:dyDescent="0.25">
      <c r="B5" s="265"/>
      <c r="C5" s="265"/>
      <c r="D5" s="265"/>
      <c r="E5" s="265"/>
      <c r="F5" s="265"/>
      <c r="G5" s="265"/>
      <c r="H5" s="265"/>
    </row>
    <row r="6" spans="1:11" s="78" customFormat="1" ht="30" customHeight="1" thickBot="1" x14ac:dyDescent="0.25">
      <c r="B6" s="621" t="s">
        <v>93</v>
      </c>
      <c r="C6" s="622"/>
      <c r="D6" s="624" t="s">
        <v>411</v>
      </c>
      <c r="E6" s="625"/>
      <c r="F6" s="142"/>
      <c r="G6" s="142"/>
      <c r="H6" s="142"/>
    </row>
    <row r="7" spans="1:11" s="78" customFormat="1" ht="18" customHeight="1" thickBot="1" x14ac:dyDescent="0.25">
      <c r="B7" s="142"/>
      <c r="C7" s="142"/>
      <c r="D7" s="142"/>
      <c r="E7" s="142"/>
      <c r="F7" s="142"/>
      <c r="G7" s="142"/>
      <c r="H7" s="142"/>
    </row>
    <row r="8" spans="1:11"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1:11" s="78" customFormat="1" ht="18" customHeight="1" x14ac:dyDescent="0.2">
      <c r="B9" s="108" t="s">
        <v>25</v>
      </c>
      <c r="C9" s="487">
        <v>0</v>
      </c>
      <c r="D9" s="487">
        <v>0</v>
      </c>
      <c r="E9" s="488">
        <f>C9*D9</f>
        <v>0</v>
      </c>
      <c r="F9" s="491">
        <v>0</v>
      </c>
      <c r="G9" s="492">
        <f>E9*F9</f>
        <v>0</v>
      </c>
      <c r="H9" s="143">
        <f>IFERROR(G9/G48,0)</f>
        <v>0</v>
      </c>
    </row>
    <row r="10" spans="1:11" s="78" customFormat="1" ht="18" customHeight="1" x14ac:dyDescent="0.2">
      <c r="B10" s="108" t="s">
        <v>25</v>
      </c>
      <c r="C10" s="487">
        <v>0</v>
      </c>
      <c r="D10" s="487">
        <v>0</v>
      </c>
      <c r="E10" s="488">
        <f>C10*D10</f>
        <v>0</v>
      </c>
      <c r="F10" s="491">
        <v>0</v>
      </c>
      <c r="G10" s="492">
        <f>E10*F10</f>
        <v>0</v>
      </c>
      <c r="H10" s="143">
        <f>IFERROR(G10/G48,0)</f>
        <v>0</v>
      </c>
    </row>
    <row r="11" spans="1:11" s="78" customFormat="1" ht="18" customHeight="1" x14ac:dyDescent="0.2">
      <c r="B11" s="108" t="s">
        <v>25</v>
      </c>
      <c r="C11" s="487">
        <v>0</v>
      </c>
      <c r="D11" s="487">
        <v>0</v>
      </c>
      <c r="E11" s="488">
        <f>C11*D11</f>
        <v>0</v>
      </c>
      <c r="F11" s="491">
        <v>0</v>
      </c>
      <c r="G11" s="492">
        <f>E11*F11</f>
        <v>0</v>
      </c>
      <c r="H11" s="143">
        <f>IFERROR(G11/G48,0)</f>
        <v>0</v>
      </c>
    </row>
    <row r="12" spans="1:11" s="78" customFormat="1" ht="18" customHeight="1" x14ac:dyDescent="0.2">
      <c r="B12" s="108" t="s">
        <v>25</v>
      </c>
      <c r="C12" s="487">
        <v>0</v>
      </c>
      <c r="D12" s="487">
        <v>0</v>
      </c>
      <c r="E12" s="488">
        <f>C12*D12</f>
        <v>0</v>
      </c>
      <c r="F12" s="491">
        <v>0</v>
      </c>
      <c r="G12" s="492">
        <f>E12*F12</f>
        <v>0</v>
      </c>
      <c r="H12" s="143">
        <f>IFERROR(G12/G48,0)</f>
        <v>0</v>
      </c>
    </row>
    <row r="13" spans="1:11" s="78" customFormat="1" ht="18" customHeight="1" x14ac:dyDescent="0.2">
      <c r="B13" s="108" t="s">
        <v>25</v>
      </c>
      <c r="C13" s="487">
        <v>0</v>
      </c>
      <c r="D13" s="487">
        <v>0</v>
      </c>
      <c r="E13" s="488">
        <f>C13*D13</f>
        <v>0</v>
      </c>
      <c r="F13" s="491">
        <v>0</v>
      </c>
      <c r="G13" s="492">
        <f>E13*F13</f>
        <v>0</v>
      </c>
      <c r="H13" s="143">
        <f>IFERROR(G13/G48,0)</f>
        <v>0</v>
      </c>
    </row>
    <row r="14" spans="1:11" s="86" customFormat="1" ht="18" customHeight="1" thickBot="1" x14ac:dyDescent="0.25">
      <c r="B14" s="158" t="s">
        <v>11</v>
      </c>
      <c r="C14" s="489">
        <f>SUM(C9:C13)</f>
        <v>0</v>
      </c>
      <c r="D14" s="490"/>
      <c r="E14" s="489">
        <f>SUM(E9:E13)</f>
        <v>0</v>
      </c>
      <c r="F14" s="493"/>
      <c r="G14" s="494">
        <f>SUM(G9:G13)</f>
        <v>0</v>
      </c>
      <c r="H14" s="260">
        <f>IFERROR(G14/G48,0)</f>
        <v>0</v>
      </c>
    </row>
    <row r="15" spans="1:11"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1:11"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495">
        <f>SUM(E14,E21,E25,E29,E33,E37,E41,E45)</f>
        <v>0</v>
      </c>
      <c r="H47" s="86" t="str">
        <f>D6</f>
        <v>stem, bouquet, lbs, bucket, jar</v>
      </c>
    </row>
    <row r="48" spans="2:8" s="78" customFormat="1" ht="18" customHeight="1" x14ac:dyDescent="0.2">
      <c r="B48" s="90"/>
      <c r="C48" s="144"/>
      <c r="D48" s="86"/>
      <c r="E48" s="90"/>
      <c r="F48" s="90" t="s">
        <v>82</v>
      </c>
      <c r="G48" s="548">
        <f>SUM(G14,G21,G25,G29,G33,G37,G41,G45)</f>
        <v>0</v>
      </c>
    </row>
    <row r="49" spans="2:16" s="78" customFormat="1" ht="18" customHeight="1" x14ac:dyDescent="0.2">
      <c r="B49" s="90"/>
      <c r="C49" s="144"/>
      <c r="D49" s="86"/>
      <c r="E49" s="90"/>
      <c r="F49" s="90"/>
      <c r="G49" s="145"/>
    </row>
    <row r="50" spans="2:16" ht="18" customHeight="1" thickBot="1" x14ac:dyDescent="0.35">
      <c r="B50" s="10"/>
      <c r="C50" s="10"/>
      <c r="D50" s="10"/>
      <c r="J50" s="23"/>
    </row>
    <row r="51" spans="2:16" ht="27" thickBot="1" x14ac:dyDescent="0.35">
      <c r="B51" s="34" t="s">
        <v>235</v>
      </c>
      <c r="C51" s="6"/>
    </row>
    <row r="52" spans="2:16" ht="18" customHeight="1" thickBot="1" x14ac:dyDescent="0.25">
      <c r="B52" s="74"/>
      <c r="C52" s="74"/>
      <c r="D52" s="74"/>
      <c r="E52" s="74"/>
      <c r="F52" s="74"/>
      <c r="G52" s="74"/>
      <c r="H52" s="74"/>
      <c r="I52" s="74"/>
      <c r="J52" s="74"/>
      <c r="K52" s="74"/>
      <c r="L52" s="74"/>
      <c r="M52" s="74"/>
      <c r="N52" s="74"/>
      <c r="O52" s="36"/>
      <c r="P52" s="36"/>
    </row>
    <row r="53" spans="2:16" ht="18" customHeight="1" x14ac:dyDescent="0.2">
      <c r="B53" s="263" t="s">
        <v>415</v>
      </c>
      <c r="C53" s="497">
        <v>0</v>
      </c>
      <c r="D53" s="591" t="s">
        <v>413</v>
      </c>
      <c r="E53" s="74"/>
      <c r="F53" s="74"/>
      <c r="G53" s="74"/>
      <c r="H53" s="74"/>
      <c r="I53" s="74"/>
      <c r="J53" s="74"/>
      <c r="K53" s="74"/>
      <c r="L53" s="74"/>
      <c r="M53" s="74"/>
      <c r="N53" s="74"/>
      <c r="O53" s="36"/>
      <c r="P53" s="36"/>
    </row>
    <row r="54" spans="2:16" ht="18" customHeight="1" x14ac:dyDescent="0.2">
      <c r="B54" s="586" t="s">
        <v>416</v>
      </c>
      <c r="C54" s="498">
        <v>0</v>
      </c>
      <c r="D54" s="587" t="str">
        <f>D6</f>
        <v>stem, bouquet, lbs, bucket, jar</v>
      </c>
    </row>
    <row r="55" spans="2:16" ht="18" customHeight="1" x14ac:dyDescent="0.2">
      <c r="B55" s="154" t="s">
        <v>232</v>
      </c>
      <c r="C55" s="498">
        <v>0</v>
      </c>
      <c r="D55" s="155" t="s">
        <v>103</v>
      </c>
    </row>
    <row r="56" spans="2:16" ht="18" customHeight="1" x14ac:dyDescent="0.25">
      <c r="B56" s="19" t="s">
        <v>414</v>
      </c>
      <c r="C56" s="499">
        <v>0</v>
      </c>
      <c r="D56" s="14" t="s">
        <v>103</v>
      </c>
      <c r="E56" s="20"/>
    </row>
    <row r="57" spans="2:16" ht="18" customHeight="1" x14ac:dyDescent="0.2">
      <c r="B57" s="19" t="s">
        <v>233</v>
      </c>
      <c r="C57" s="584">
        <v>0</v>
      </c>
      <c r="D57" s="15" t="s">
        <v>4</v>
      </c>
    </row>
    <row r="58" spans="2:16" ht="18" customHeight="1" x14ac:dyDescent="0.2">
      <c r="B58" s="19" t="s">
        <v>234</v>
      </c>
      <c r="C58" s="585">
        <f>IFERROR(C55*C56*144/(C53*C53)*C54,0)</f>
        <v>0</v>
      </c>
      <c r="D58" s="33" t="str">
        <f>D6</f>
        <v>stem, bouquet, lbs, bucket, jar</v>
      </c>
    </row>
    <row r="59" spans="2:16" ht="18" customHeight="1" thickBot="1" x14ac:dyDescent="0.25">
      <c r="B59" s="153" t="s">
        <v>207</v>
      </c>
      <c r="C59" s="500">
        <f>C57*C58</f>
        <v>0</v>
      </c>
      <c r="D59" s="156" t="str">
        <f>D6</f>
        <v>stem, bouquet, lbs, bucket, jar</v>
      </c>
    </row>
    <row r="60" spans="2:16" ht="18" customHeight="1" x14ac:dyDescent="0.2">
      <c r="B60" s="157" t="s">
        <v>312</v>
      </c>
      <c r="D60" s="2"/>
    </row>
    <row r="61" spans="2:16" ht="18" customHeight="1" x14ac:dyDescent="0.2">
      <c r="B61" s="157"/>
      <c r="D61" s="2"/>
    </row>
    <row r="62" spans="2:16" ht="18" customHeight="1" thickBot="1" x14ac:dyDescent="0.35">
      <c r="B62" s="10"/>
      <c r="C62" s="10"/>
      <c r="D62" s="10"/>
      <c r="J62" s="23"/>
    </row>
    <row r="63" spans="2:16" ht="27" thickBot="1" x14ac:dyDescent="0.35">
      <c r="B63" s="35" t="s">
        <v>237</v>
      </c>
    </row>
    <row r="64" spans="2:16" ht="18" customHeight="1" thickBot="1" x14ac:dyDescent="0.25">
      <c r="B64" s="352"/>
      <c r="C64" s="352"/>
      <c r="D64" s="352"/>
      <c r="E64" s="352"/>
      <c r="F64" s="352"/>
      <c r="G64" s="352"/>
      <c r="H64" s="68"/>
      <c r="I64" s="68"/>
      <c r="J64" s="68"/>
    </row>
    <row r="65" spans="2:8" ht="18" customHeight="1" x14ac:dyDescent="0.2">
      <c r="B65" s="631" t="s">
        <v>27</v>
      </c>
      <c r="C65" s="633" t="s">
        <v>222</v>
      </c>
      <c r="D65" s="633"/>
      <c r="E65" s="634" t="s">
        <v>1</v>
      </c>
      <c r="F65" s="636" t="s">
        <v>221</v>
      </c>
    </row>
    <row r="66" spans="2:8" ht="18" customHeight="1" x14ac:dyDescent="0.2">
      <c r="B66" s="655"/>
      <c r="C66" s="252" t="s">
        <v>76</v>
      </c>
      <c r="D66" s="266" t="s">
        <v>77</v>
      </c>
      <c r="E66" s="656"/>
      <c r="F66" s="649"/>
    </row>
    <row r="67" spans="2:8" ht="18" customHeight="1" x14ac:dyDescent="0.2">
      <c r="B67" s="125" t="s">
        <v>20</v>
      </c>
      <c r="C67" s="501">
        <v>0</v>
      </c>
      <c r="D67" s="501">
        <v>0</v>
      </c>
      <c r="E67" s="116" t="s">
        <v>160</v>
      </c>
      <c r="F67" s="126"/>
    </row>
    <row r="68" spans="2:8" ht="18" customHeight="1" x14ac:dyDescent="0.2">
      <c r="B68" s="127" t="s">
        <v>97</v>
      </c>
      <c r="C68" s="502">
        <v>0</v>
      </c>
      <c r="D68" s="502">
        <v>0</v>
      </c>
      <c r="E68" s="117" t="s">
        <v>160</v>
      </c>
      <c r="F68" s="126"/>
    </row>
    <row r="69" spans="2:8" ht="18" customHeight="1" x14ac:dyDescent="0.2">
      <c r="B69" s="127" t="s">
        <v>98</v>
      </c>
      <c r="C69" s="502">
        <v>0</v>
      </c>
      <c r="D69" s="502">
        <v>0</v>
      </c>
      <c r="E69" s="117" t="s">
        <v>160</v>
      </c>
      <c r="F69" s="126"/>
    </row>
    <row r="70" spans="2:8" ht="18" customHeight="1" x14ac:dyDescent="0.2">
      <c r="B70" s="127" t="s">
        <v>99</v>
      </c>
      <c r="C70" s="502">
        <v>0</v>
      </c>
      <c r="D70" s="502">
        <v>0</v>
      </c>
      <c r="E70" s="117" t="s">
        <v>160</v>
      </c>
      <c r="F70" s="126"/>
    </row>
    <row r="71" spans="2:8" ht="18" customHeight="1" x14ac:dyDescent="0.2">
      <c r="B71" s="127" t="s">
        <v>21</v>
      </c>
      <c r="C71" s="502">
        <v>0</v>
      </c>
      <c r="D71" s="502">
        <v>0</v>
      </c>
      <c r="E71" s="117" t="s">
        <v>160</v>
      </c>
      <c r="F71" s="126"/>
    </row>
    <row r="72" spans="2:8" ht="18" customHeight="1" x14ac:dyDescent="0.2">
      <c r="B72" s="127" t="s">
        <v>22</v>
      </c>
      <c r="C72" s="502">
        <v>0</v>
      </c>
      <c r="D72" s="502">
        <v>0</v>
      </c>
      <c r="E72" s="117" t="s">
        <v>160</v>
      </c>
      <c r="F72" s="126"/>
    </row>
    <row r="73" spans="2:8" ht="18" customHeight="1" x14ac:dyDescent="0.2">
      <c r="B73" s="128" t="s">
        <v>147</v>
      </c>
      <c r="C73" s="503">
        <v>0</v>
      </c>
      <c r="D73" s="503">
        <v>0</v>
      </c>
      <c r="E73" s="117" t="s">
        <v>160</v>
      </c>
      <c r="F73" s="126"/>
    </row>
    <row r="74" spans="2:8" ht="18" customHeight="1" x14ac:dyDescent="0.2">
      <c r="B74" s="109" t="s">
        <v>177</v>
      </c>
      <c r="C74" s="502">
        <v>0</v>
      </c>
      <c r="D74" s="502">
        <v>0</v>
      </c>
      <c r="E74" s="117" t="s">
        <v>160</v>
      </c>
      <c r="F74" s="126"/>
    </row>
    <row r="75" spans="2:8" ht="18" customHeight="1" x14ac:dyDescent="0.2">
      <c r="B75" s="92" t="s">
        <v>23</v>
      </c>
      <c r="C75" s="502">
        <v>0</v>
      </c>
      <c r="D75" s="502">
        <v>0</v>
      </c>
      <c r="E75" s="117" t="s">
        <v>160</v>
      </c>
      <c r="F75" s="126"/>
    </row>
    <row r="76" spans="2:8" ht="18" customHeight="1" x14ac:dyDescent="0.2">
      <c r="B76" s="127" t="s">
        <v>120</v>
      </c>
      <c r="C76" s="502">
        <v>0</v>
      </c>
      <c r="D76" s="502">
        <v>0</v>
      </c>
      <c r="E76" s="117" t="s">
        <v>160</v>
      </c>
      <c r="F76" s="126"/>
      <c r="H76" s="150"/>
    </row>
    <row r="77" spans="2:8" ht="18" customHeight="1" thickBot="1" x14ac:dyDescent="0.25">
      <c r="B77" s="272" t="s">
        <v>262</v>
      </c>
      <c r="C77" s="504">
        <f>SUM(C67:C76)/60</f>
        <v>0</v>
      </c>
      <c r="D77" s="504">
        <f>SUM(D67:D76)/60</f>
        <v>0</v>
      </c>
      <c r="E77" s="273" t="s">
        <v>161</v>
      </c>
      <c r="F77" s="512">
        <f>(C77*F116)+(D77*F117)</f>
        <v>0</v>
      </c>
    </row>
    <row r="78" spans="2:8" ht="18" customHeight="1" x14ac:dyDescent="0.2">
      <c r="B78" s="646" t="s">
        <v>227</v>
      </c>
      <c r="C78" s="641" t="s">
        <v>222</v>
      </c>
      <c r="D78" s="641"/>
      <c r="E78" s="648" t="s">
        <v>1</v>
      </c>
      <c r="F78" s="637" t="s">
        <v>100</v>
      </c>
    </row>
    <row r="79" spans="2:8" ht="18" customHeight="1" x14ac:dyDescent="0.2">
      <c r="B79" s="647"/>
      <c r="C79" s="252" t="s">
        <v>76</v>
      </c>
      <c r="D79" s="266" t="s">
        <v>77</v>
      </c>
      <c r="E79" s="642"/>
      <c r="F79" s="649"/>
    </row>
    <row r="80" spans="2:8" ht="18" customHeight="1" x14ac:dyDescent="0.2">
      <c r="B80" s="129" t="s">
        <v>226</v>
      </c>
      <c r="C80" s="501">
        <v>0</v>
      </c>
      <c r="D80" s="501">
        <v>0</v>
      </c>
      <c r="E80" s="116" t="s">
        <v>161</v>
      </c>
      <c r="F80" s="130"/>
    </row>
    <row r="81" spans="2:6" ht="18" customHeight="1" x14ac:dyDescent="0.2">
      <c r="B81" s="131" t="s">
        <v>228</v>
      </c>
      <c r="C81" s="502">
        <v>0</v>
      </c>
      <c r="D81" s="502">
        <v>0</v>
      </c>
      <c r="E81" s="117" t="s">
        <v>161</v>
      </c>
      <c r="F81" s="130"/>
    </row>
    <row r="82" spans="2:6" ht="18" customHeight="1" x14ac:dyDescent="0.2">
      <c r="B82" s="131" t="s">
        <v>238</v>
      </c>
      <c r="C82" s="502">
        <v>0</v>
      </c>
      <c r="D82" s="502">
        <v>0</v>
      </c>
      <c r="E82" s="117" t="s">
        <v>161</v>
      </c>
      <c r="F82" s="130"/>
    </row>
    <row r="83" spans="2:6" ht="18" customHeight="1" x14ac:dyDescent="0.2">
      <c r="B83" s="131" t="s">
        <v>229</v>
      </c>
      <c r="C83" s="502">
        <v>0</v>
      </c>
      <c r="D83" s="502">
        <v>0</v>
      </c>
      <c r="E83" s="117" t="s">
        <v>161</v>
      </c>
      <c r="F83" s="130"/>
    </row>
    <row r="84" spans="2:6" ht="18" customHeight="1" x14ac:dyDescent="0.2">
      <c r="B84" s="131" t="s">
        <v>230</v>
      </c>
      <c r="C84" s="502">
        <v>0</v>
      </c>
      <c r="D84" s="502">
        <v>0</v>
      </c>
      <c r="E84" s="117" t="s">
        <v>161</v>
      </c>
      <c r="F84" s="130"/>
    </row>
    <row r="85" spans="2:6" ht="18" customHeight="1" x14ac:dyDescent="0.2">
      <c r="B85" s="131" t="s">
        <v>231</v>
      </c>
      <c r="C85" s="502">
        <v>0</v>
      </c>
      <c r="D85" s="502">
        <v>0</v>
      </c>
      <c r="E85" s="117" t="s">
        <v>161</v>
      </c>
      <c r="F85" s="130"/>
    </row>
    <row r="86" spans="2:6" ht="18" customHeight="1" x14ac:dyDescent="0.2">
      <c r="B86" s="131" t="s">
        <v>49</v>
      </c>
      <c r="C86" s="502">
        <v>0</v>
      </c>
      <c r="D86" s="502">
        <v>0</v>
      </c>
      <c r="E86" s="117" t="s">
        <v>161</v>
      </c>
      <c r="F86" s="130"/>
    </row>
    <row r="87" spans="2:6" ht="18" customHeight="1" x14ac:dyDescent="0.2">
      <c r="B87" s="131" t="s">
        <v>178</v>
      </c>
      <c r="C87" s="502">
        <v>0</v>
      </c>
      <c r="D87" s="502">
        <v>0</v>
      </c>
      <c r="E87" s="117" t="s">
        <v>161</v>
      </c>
      <c r="F87" s="130"/>
    </row>
    <row r="88" spans="2:6" ht="18" customHeight="1" x14ac:dyDescent="0.2">
      <c r="B88" s="132" t="s">
        <v>17</v>
      </c>
      <c r="C88" s="502">
        <v>0</v>
      </c>
      <c r="D88" s="502">
        <v>0</v>
      </c>
      <c r="E88" s="117" t="s">
        <v>161</v>
      </c>
      <c r="F88" s="130"/>
    </row>
    <row r="89" spans="2:6" ht="18" customHeight="1" x14ac:dyDescent="0.2">
      <c r="B89" s="127" t="s">
        <v>120</v>
      </c>
      <c r="C89" s="502">
        <v>0</v>
      </c>
      <c r="D89" s="502">
        <v>0</v>
      </c>
      <c r="E89" s="117" t="s">
        <v>161</v>
      </c>
      <c r="F89" s="126"/>
    </row>
    <row r="90" spans="2:6" ht="18" customHeight="1" thickBot="1" x14ac:dyDescent="0.25">
      <c r="B90" s="133" t="s">
        <v>262</v>
      </c>
      <c r="C90" s="505">
        <f>SUM(C80:C89)</f>
        <v>0</v>
      </c>
      <c r="D90" s="505">
        <f>SUM(D80:D89)</f>
        <v>0</v>
      </c>
      <c r="E90" s="118" t="s">
        <v>239</v>
      </c>
      <c r="F90" s="513">
        <f>(C90*F116)+(D90*F117)</f>
        <v>0</v>
      </c>
    </row>
    <row r="91" spans="2:6" ht="18" customHeight="1" x14ac:dyDescent="0.2">
      <c r="B91" s="631" t="s">
        <v>220</v>
      </c>
      <c r="C91" s="633" t="s">
        <v>222</v>
      </c>
      <c r="D91" s="633"/>
      <c r="E91" s="634" t="s">
        <v>1</v>
      </c>
      <c r="F91" s="636" t="s">
        <v>100</v>
      </c>
    </row>
    <row r="92" spans="2:6" ht="18" customHeight="1" x14ac:dyDescent="0.2">
      <c r="B92" s="632"/>
      <c r="C92" s="267" t="s">
        <v>76</v>
      </c>
      <c r="D92" s="268" t="s">
        <v>77</v>
      </c>
      <c r="E92" s="635"/>
      <c r="F92" s="637"/>
    </row>
    <row r="93" spans="2:6" ht="18" customHeight="1" x14ac:dyDescent="0.2">
      <c r="B93" s="643" t="str">
        <f>"* Remember: Estimated Crop Yield Per Bed Is "&amp;'Project Yield'!C70&amp;" "&amp;'Project Yield'!D70</f>
        <v xml:space="preserve">* Remember: Estimated Crop Yield Per Bed Is  </v>
      </c>
      <c r="C93" s="644"/>
      <c r="D93" s="644"/>
      <c r="E93" s="644"/>
      <c r="F93" s="645"/>
    </row>
    <row r="94" spans="2:6" ht="18" customHeight="1" x14ac:dyDescent="0.2">
      <c r="B94" s="129" t="s">
        <v>217</v>
      </c>
      <c r="C94" s="506">
        <v>0</v>
      </c>
      <c r="D94" s="506">
        <v>0</v>
      </c>
      <c r="E94" s="119" t="s">
        <v>161</v>
      </c>
      <c r="F94" s="130"/>
    </row>
    <row r="95" spans="2:6" ht="18" customHeight="1" x14ac:dyDescent="0.2">
      <c r="B95" s="131" t="s">
        <v>216</v>
      </c>
      <c r="C95" s="502">
        <v>0</v>
      </c>
      <c r="D95" s="502">
        <v>0</v>
      </c>
      <c r="E95" s="114" t="s">
        <v>161</v>
      </c>
      <c r="F95" s="134"/>
    </row>
    <row r="96" spans="2:6" ht="18" customHeight="1" x14ac:dyDescent="0.2">
      <c r="B96" s="135" t="s">
        <v>218</v>
      </c>
      <c r="C96" s="502">
        <v>0</v>
      </c>
      <c r="D96" s="502">
        <v>0</v>
      </c>
      <c r="E96" s="114" t="s">
        <v>161</v>
      </c>
      <c r="F96" s="134"/>
    </row>
    <row r="97" spans="2:11" ht="18" customHeight="1" x14ac:dyDescent="0.2">
      <c r="B97" s="131" t="s">
        <v>178</v>
      </c>
      <c r="C97" s="507">
        <v>0</v>
      </c>
      <c r="D97" s="507">
        <v>0</v>
      </c>
      <c r="E97" s="120" t="s">
        <v>161</v>
      </c>
      <c r="F97" s="136"/>
    </row>
    <row r="98" spans="2:11" ht="18" customHeight="1" x14ac:dyDescent="0.2">
      <c r="B98" s="132" t="s">
        <v>219</v>
      </c>
      <c r="C98" s="507">
        <v>0</v>
      </c>
      <c r="D98" s="507">
        <v>0</v>
      </c>
      <c r="E98" s="120" t="s">
        <v>161</v>
      </c>
      <c r="F98" s="136"/>
    </row>
    <row r="99" spans="2:11" ht="18" customHeight="1" x14ac:dyDescent="0.2">
      <c r="B99" s="127" t="s">
        <v>120</v>
      </c>
      <c r="C99" s="502">
        <v>0</v>
      </c>
      <c r="D99" s="502">
        <v>0</v>
      </c>
      <c r="E99" s="117" t="s">
        <v>161</v>
      </c>
      <c r="F99" s="126"/>
    </row>
    <row r="100" spans="2:11" s="17" customFormat="1" ht="18" customHeight="1" thickBot="1" x14ac:dyDescent="0.25">
      <c r="B100" s="274" t="s">
        <v>262</v>
      </c>
      <c r="C100" s="508">
        <f>SUM(C94:C99)</f>
        <v>0</v>
      </c>
      <c r="D100" s="508">
        <f>SUM(D94:D99)</f>
        <v>0</v>
      </c>
      <c r="E100" s="275" t="s">
        <v>161</v>
      </c>
      <c r="F100" s="514">
        <f>(C100*F116)+(D100*F117)</f>
        <v>0</v>
      </c>
      <c r="G100" s="18"/>
      <c r="H100" s="26"/>
      <c r="I100" s="24"/>
      <c r="J100" s="25"/>
      <c r="K100" s="44"/>
    </row>
    <row r="101" spans="2:11" ht="18" customHeight="1" x14ac:dyDescent="0.2">
      <c r="B101" s="640" t="s">
        <v>240</v>
      </c>
      <c r="C101" s="641" t="s">
        <v>222</v>
      </c>
      <c r="D101" s="641"/>
      <c r="E101" s="642" t="s">
        <v>1</v>
      </c>
      <c r="F101" s="637" t="s">
        <v>100</v>
      </c>
    </row>
    <row r="102" spans="2:11" ht="18" customHeight="1" x14ac:dyDescent="0.2">
      <c r="B102" s="632"/>
      <c r="C102" s="267" t="s">
        <v>76</v>
      </c>
      <c r="D102" s="268" t="s">
        <v>77</v>
      </c>
      <c r="E102" s="635"/>
      <c r="F102" s="637"/>
    </row>
    <row r="103" spans="2:11" ht="18" customHeight="1" x14ac:dyDescent="0.2">
      <c r="B103" s="643" t="str">
        <f>"* Remember: Estimated Crop Yield Per Bed Is "&amp;'Project Yield'!C70&amp;" "&amp;'Project Yield'!D70</f>
        <v xml:space="preserve">* Remember: Estimated Crop Yield Per Bed Is  </v>
      </c>
      <c r="C103" s="644"/>
      <c r="D103" s="644"/>
      <c r="E103" s="644"/>
      <c r="F103" s="645"/>
    </row>
    <row r="104" spans="2:11" ht="18" customHeight="1" x14ac:dyDescent="0.2">
      <c r="B104" s="160" t="s">
        <v>199</v>
      </c>
      <c r="C104" s="506">
        <v>0</v>
      </c>
      <c r="D104" s="506">
        <v>0</v>
      </c>
      <c r="E104" s="119" t="s">
        <v>161</v>
      </c>
      <c r="F104" s="130"/>
    </row>
    <row r="105" spans="2:11" ht="18" customHeight="1" x14ac:dyDescent="0.2">
      <c r="B105" s="160" t="s">
        <v>199</v>
      </c>
      <c r="C105" s="502">
        <v>0</v>
      </c>
      <c r="D105" s="502">
        <v>0</v>
      </c>
      <c r="E105" s="114" t="s">
        <v>161</v>
      </c>
      <c r="F105" s="134"/>
    </row>
    <row r="106" spans="2:11" ht="18" customHeight="1" x14ac:dyDescent="0.2">
      <c r="B106" s="160" t="s">
        <v>199</v>
      </c>
      <c r="C106" s="502">
        <v>0</v>
      </c>
      <c r="D106" s="502">
        <v>0</v>
      </c>
      <c r="E106" s="114" t="s">
        <v>161</v>
      </c>
      <c r="F106" s="134"/>
    </row>
    <row r="107" spans="2:11" s="17" customFormat="1" ht="18" customHeight="1" thickBot="1" x14ac:dyDescent="0.25">
      <c r="B107" s="137" t="s">
        <v>262</v>
      </c>
      <c r="C107" s="509">
        <f>SUM(C104:C106)</f>
        <v>0</v>
      </c>
      <c r="D107" s="509">
        <f>SUM(D104:D106)</f>
        <v>0</v>
      </c>
      <c r="E107" s="121" t="s">
        <v>161</v>
      </c>
      <c r="F107" s="515">
        <f>(C107*F116)+(D107*F117)</f>
        <v>0</v>
      </c>
      <c r="G107" s="18"/>
      <c r="H107" s="26"/>
      <c r="I107" s="24"/>
      <c r="J107" s="25"/>
      <c r="K107" s="44"/>
    </row>
    <row r="108" spans="2:11" s="11" customFormat="1" ht="18" customHeight="1" x14ac:dyDescent="0.2">
      <c r="B108" s="276" t="s">
        <v>314</v>
      </c>
      <c r="C108" s="277" t="s">
        <v>76</v>
      </c>
      <c r="D108" s="277" t="s">
        <v>77</v>
      </c>
      <c r="E108" s="278" t="s">
        <v>223</v>
      </c>
      <c r="F108" s="279"/>
    </row>
    <row r="109" spans="2:11" s="11" customFormat="1" ht="18" customHeight="1" x14ac:dyDescent="0.2">
      <c r="B109" s="270" t="s">
        <v>90</v>
      </c>
      <c r="C109" s="510">
        <f>SUM(C77,C90,C100,C107)</f>
        <v>0</v>
      </c>
      <c r="D109" s="510">
        <f>SUM(D77,D90,D100,D107)</f>
        <v>0</v>
      </c>
      <c r="E109" s="119" t="s">
        <v>161</v>
      </c>
      <c r="F109" s="136"/>
      <c r="H109" s="21"/>
      <c r="I109" s="21"/>
    </row>
    <row r="110" spans="2:11" s="11" customFormat="1" ht="18" customHeight="1" thickBot="1" x14ac:dyDescent="0.25">
      <c r="B110" s="271" t="s">
        <v>225</v>
      </c>
      <c r="C110" s="511">
        <f>C109*C57</f>
        <v>0</v>
      </c>
      <c r="D110" s="511">
        <f>D109*C57</f>
        <v>0</v>
      </c>
      <c r="E110" s="138" t="s">
        <v>161</v>
      </c>
      <c r="F110" s="139"/>
      <c r="H110" s="21"/>
      <c r="I110" s="21"/>
    </row>
    <row r="111" spans="2:11" s="11" customFormat="1" ht="18" customHeight="1" x14ac:dyDescent="0.2">
      <c r="B111" s="269"/>
      <c r="C111" s="98"/>
      <c r="D111" s="98"/>
      <c r="E111" s="140"/>
      <c r="F111" s="123"/>
      <c r="H111" s="21"/>
      <c r="I111" s="21"/>
    </row>
    <row r="112" spans="2:11" s="11" customFormat="1" ht="18" customHeight="1" x14ac:dyDescent="0.2">
      <c r="B112" s="78"/>
      <c r="C112" s="78"/>
      <c r="D112" s="146"/>
      <c r="E112" s="146" t="s">
        <v>313</v>
      </c>
      <c r="F112" s="353">
        <f>SUM(F77,F90,F100,F107)</f>
        <v>0</v>
      </c>
      <c r="H112" s="21"/>
      <c r="I112" s="21"/>
    </row>
    <row r="113" spans="2:15" s="11" customFormat="1" ht="18" customHeight="1" x14ac:dyDescent="0.2">
      <c r="B113" s="78"/>
      <c r="C113" s="78"/>
      <c r="D113" s="638" t="s">
        <v>224</v>
      </c>
      <c r="E113" s="638"/>
      <c r="F113" s="353">
        <f>F112*C57</f>
        <v>0</v>
      </c>
      <c r="H113" s="21"/>
      <c r="I113" s="21"/>
    </row>
    <row r="114" spans="2:15" s="11" customFormat="1" ht="18" customHeight="1" thickBot="1" x14ac:dyDescent="0.25">
      <c r="B114" s="78"/>
      <c r="C114" s="78"/>
      <c r="D114" s="639"/>
      <c r="E114" s="639"/>
      <c r="F114" s="122"/>
      <c r="H114" s="21"/>
      <c r="I114" s="21"/>
    </row>
    <row r="115" spans="2:15" s="11" customFormat="1" ht="18" customHeight="1" thickBot="1" x14ac:dyDescent="0.3">
      <c r="B115" s="43"/>
      <c r="C115" s="86"/>
      <c r="D115" s="628" t="s">
        <v>162</v>
      </c>
      <c r="E115" s="629"/>
      <c r="F115" s="630"/>
      <c r="H115" s="21"/>
      <c r="I115" s="21"/>
      <c r="J115" s="51"/>
      <c r="K115" s="32"/>
    </row>
    <row r="116" spans="2:15" ht="18" customHeight="1" x14ac:dyDescent="0.3">
      <c r="B116" s="10"/>
      <c r="C116" s="10"/>
      <c r="D116" s="280"/>
      <c r="E116" s="281" t="s">
        <v>146</v>
      </c>
      <c r="F116" s="516">
        <f>' Labor Overheads'!$C$31</f>
        <v>0</v>
      </c>
      <c r="J116" s="23"/>
    </row>
    <row r="117" spans="2:15" ht="18" customHeight="1" x14ac:dyDescent="0.3">
      <c r="B117" s="10"/>
      <c r="C117" s="10"/>
      <c r="D117" s="280"/>
      <c r="E117" s="281" t="s">
        <v>149</v>
      </c>
      <c r="F117" s="516">
        <f>' Labor Overheads'!$C$15</f>
        <v>0</v>
      </c>
      <c r="J117" s="23"/>
    </row>
    <row r="118" spans="2:15" ht="18" customHeight="1" x14ac:dyDescent="0.3">
      <c r="B118" s="10"/>
      <c r="C118" s="10"/>
      <c r="D118" s="280"/>
      <c r="E118" s="282" t="s">
        <v>163</v>
      </c>
      <c r="F118" s="517">
        <f>C110*F116</f>
        <v>0</v>
      </c>
      <c r="J118" s="23"/>
    </row>
    <row r="119" spans="2:15" ht="18" customHeight="1" thickBot="1" x14ac:dyDescent="0.35">
      <c r="B119" s="10"/>
      <c r="C119" s="10"/>
      <c r="D119" s="283"/>
      <c r="E119" s="284" t="s">
        <v>164</v>
      </c>
      <c r="F119" s="518">
        <f>D110*F117</f>
        <v>0</v>
      </c>
      <c r="J119" s="23"/>
    </row>
    <row r="120" spans="2:15" ht="18" customHeight="1" x14ac:dyDescent="0.3">
      <c r="B120" s="10"/>
      <c r="C120" s="10"/>
      <c r="D120" s="354"/>
      <c r="E120" s="282"/>
      <c r="F120" s="355"/>
      <c r="J120" s="23"/>
    </row>
    <row r="121" spans="2:15" ht="18" customHeight="1" thickBot="1" x14ac:dyDescent="0.35">
      <c r="B121" s="10"/>
      <c r="C121" s="10"/>
      <c r="D121" s="10"/>
      <c r="J121" s="23"/>
    </row>
    <row r="122" spans="2:15" s="78" customFormat="1" ht="27" customHeight="1" thickBot="1" x14ac:dyDescent="0.35">
      <c r="B122" s="288" t="s">
        <v>321</v>
      </c>
      <c r="C122" s="99"/>
      <c r="G122" s="79"/>
    </row>
    <row r="123" spans="2:15" s="78" customFormat="1" ht="18" customHeight="1" thickBot="1" x14ac:dyDescent="0.25">
      <c r="B123" s="82"/>
      <c r="G123" s="79"/>
    </row>
    <row r="124" spans="2:15" s="85" customFormat="1" ht="18" customHeight="1" thickBot="1" x14ac:dyDescent="0.25">
      <c r="B124" s="598" t="s">
        <v>322</v>
      </c>
      <c r="C124" s="599"/>
      <c r="D124" s="599"/>
      <c r="E124" s="599"/>
      <c r="F124" s="599"/>
      <c r="G124" s="600"/>
    </row>
    <row r="125" spans="2:15" s="85" customFormat="1" ht="18" customHeight="1" thickBot="1" x14ac:dyDescent="0.25">
      <c r="B125" s="665" t="str">
        <f>"* Remember: Estimated Crop Yield Per Bed Is "&amp;'Project Yield'!C130&amp;" "&amp;'Project Yield'!D130</f>
        <v xml:space="preserve">* Remember: Estimated Crop Yield Per Bed Is  </v>
      </c>
      <c r="C125" s="666"/>
      <c r="D125" s="666"/>
      <c r="E125" s="666"/>
      <c r="F125" s="666"/>
      <c r="G125" s="667"/>
    </row>
    <row r="126" spans="2:15" s="78" customFormat="1" ht="18" customHeight="1" x14ac:dyDescent="0.2">
      <c r="B126" s="289" t="s">
        <v>193</v>
      </c>
      <c r="C126" s="290" t="s">
        <v>206</v>
      </c>
      <c r="D126" s="291" t="s">
        <v>1</v>
      </c>
      <c r="E126" s="292" t="s">
        <v>2</v>
      </c>
      <c r="F126" s="261" t="s">
        <v>5</v>
      </c>
      <c r="G126" s="293" t="s">
        <v>15</v>
      </c>
      <c r="J126" s="86"/>
      <c r="K126" s="86"/>
      <c r="M126" s="111"/>
      <c r="N126" s="111"/>
    </row>
    <row r="127" spans="2:15" s="78" customFormat="1" ht="18" customHeight="1" x14ac:dyDescent="0.2">
      <c r="B127" s="112" t="s">
        <v>194</v>
      </c>
      <c r="C127" s="502">
        <v>0</v>
      </c>
      <c r="D127" s="106" t="s">
        <v>200</v>
      </c>
      <c r="E127" s="491">
        <v>0</v>
      </c>
      <c r="F127" s="661"/>
      <c r="G127" s="391">
        <f>C127*E127</f>
        <v>0</v>
      </c>
      <c r="L127" s="86"/>
      <c r="O127" s="113"/>
    </row>
    <row r="128" spans="2:15" s="78" customFormat="1" ht="18" customHeight="1" x14ac:dyDescent="0.2">
      <c r="B128" s="112" t="s">
        <v>195</v>
      </c>
      <c r="C128" s="502">
        <v>0</v>
      </c>
      <c r="D128" s="106" t="s">
        <v>202</v>
      </c>
      <c r="E128" s="491">
        <v>0</v>
      </c>
      <c r="F128" s="661"/>
      <c r="G128" s="391">
        <f t="shared" ref="G128:G133" si="0">C128*E128</f>
        <v>0</v>
      </c>
      <c r="L128" s="86"/>
      <c r="O128" s="113"/>
    </row>
    <row r="129" spans="2:15" s="78" customFormat="1" ht="18" customHeight="1" x14ac:dyDescent="0.2">
      <c r="B129" s="112" t="s">
        <v>196</v>
      </c>
      <c r="C129" s="502">
        <v>0</v>
      </c>
      <c r="D129" s="106" t="s">
        <v>203</v>
      </c>
      <c r="E129" s="491">
        <v>0</v>
      </c>
      <c r="F129" s="661"/>
      <c r="G129" s="391">
        <f t="shared" si="0"/>
        <v>0</v>
      </c>
      <c r="L129" s="86"/>
      <c r="O129" s="113"/>
    </row>
    <row r="130" spans="2:15" s="78" customFormat="1" ht="18" customHeight="1" x14ac:dyDescent="0.2">
      <c r="B130" s="112" t="s">
        <v>197</v>
      </c>
      <c r="C130" s="502">
        <v>0</v>
      </c>
      <c r="D130" s="106" t="s">
        <v>204</v>
      </c>
      <c r="E130" s="491">
        <v>0</v>
      </c>
      <c r="F130" s="661"/>
      <c r="G130" s="391">
        <f t="shared" si="0"/>
        <v>0</v>
      </c>
      <c r="L130" s="86"/>
      <c r="O130" s="113"/>
    </row>
    <row r="131" spans="2:15" s="78" customFormat="1" ht="18" customHeight="1" x14ac:dyDescent="0.2">
      <c r="B131" s="112" t="s">
        <v>198</v>
      </c>
      <c r="C131" s="502">
        <v>0</v>
      </c>
      <c r="D131" s="106" t="s">
        <v>205</v>
      </c>
      <c r="E131" s="491">
        <v>0</v>
      </c>
      <c r="F131" s="661"/>
      <c r="G131" s="391">
        <f t="shared" si="0"/>
        <v>0</v>
      </c>
      <c r="L131" s="86"/>
      <c r="O131" s="113"/>
    </row>
    <row r="132" spans="2:15" s="78" customFormat="1" ht="18" customHeight="1" x14ac:dyDescent="0.2">
      <c r="B132" s="108" t="s">
        <v>199</v>
      </c>
      <c r="C132" s="502">
        <v>0</v>
      </c>
      <c r="D132" s="106"/>
      <c r="E132" s="491">
        <v>0</v>
      </c>
      <c r="F132" s="661"/>
      <c r="G132" s="391">
        <f t="shared" si="0"/>
        <v>0</v>
      </c>
    </row>
    <row r="133" spans="2:15" s="78" customFormat="1" ht="18" customHeight="1" x14ac:dyDescent="0.2">
      <c r="B133" s="108" t="s">
        <v>199</v>
      </c>
      <c r="C133" s="502">
        <v>0</v>
      </c>
      <c r="D133" s="106"/>
      <c r="E133" s="491">
        <v>0</v>
      </c>
      <c r="F133" s="661"/>
      <c r="G133" s="391">
        <f t="shared" si="0"/>
        <v>0</v>
      </c>
    </row>
    <row r="134" spans="2:15" s="78" customFormat="1" ht="18" customHeight="1" thickBot="1" x14ac:dyDescent="0.25">
      <c r="B134" s="158" t="s">
        <v>262</v>
      </c>
      <c r="C134" s="520"/>
      <c r="D134" s="115"/>
      <c r="E134" s="524"/>
      <c r="F134" s="493">
        <f>IFERROR(G134/C57,0)</f>
        <v>0</v>
      </c>
      <c r="G134" s="525">
        <f>SUM(G127:G133)</f>
        <v>0</v>
      </c>
      <c r="I134" s="95"/>
      <c r="J134" s="94"/>
      <c r="K134" s="95"/>
      <c r="L134" s="96"/>
      <c r="M134" s="97"/>
      <c r="N134" s="98"/>
      <c r="O134" s="97"/>
    </row>
    <row r="135" spans="2:15" s="86" customFormat="1" ht="18" customHeight="1" x14ac:dyDescent="0.2">
      <c r="B135" s="255" t="s">
        <v>323</v>
      </c>
      <c r="C135" s="297" t="s">
        <v>50</v>
      </c>
      <c r="D135" s="298" t="s">
        <v>1</v>
      </c>
      <c r="E135" s="299" t="s">
        <v>2</v>
      </c>
      <c r="F135" s="300" t="s">
        <v>5</v>
      </c>
      <c r="G135" s="301" t="s">
        <v>15</v>
      </c>
      <c r="I135" s="87"/>
      <c r="J135" s="88"/>
      <c r="K135" s="88"/>
      <c r="L135" s="89"/>
      <c r="M135" s="90"/>
      <c r="N135" s="91"/>
      <c r="O135" s="90"/>
    </row>
    <row r="136" spans="2:15" s="78" customFormat="1" ht="18" customHeight="1" x14ac:dyDescent="0.2">
      <c r="B136" s="92" t="s">
        <v>25</v>
      </c>
      <c r="C136" s="519">
        <v>0</v>
      </c>
      <c r="D136" s="93" t="s">
        <v>51</v>
      </c>
      <c r="E136" s="526">
        <v>0</v>
      </c>
      <c r="F136" s="403">
        <f>C136*E136</f>
        <v>0</v>
      </c>
      <c r="G136" s="391">
        <f>F136*$C$57</f>
        <v>0</v>
      </c>
      <c r="J136" s="94"/>
      <c r="K136" s="95"/>
      <c r="L136" s="96"/>
      <c r="M136" s="97"/>
      <c r="N136" s="98"/>
      <c r="O136" s="97"/>
    </row>
    <row r="137" spans="2:15" s="78" customFormat="1" ht="18" customHeight="1" x14ac:dyDescent="0.2">
      <c r="B137" s="92" t="s">
        <v>25</v>
      </c>
      <c r="C137" s="519">
        <v>0</v>
      </c>
      <c r="D137" s="93" t="s">
        <v>51</v>
      </c>
      <c r="E137" s="526">
        <v>0</v>
      </c>
      <c r="F137" s="403">
        <f>C137*E137</f>
        <v>0</v>
      </c>
      <c r="G137" s="391">
        <f>F137*$C$57</f>
        <v>0</v>
      </c>
      <c r="I137" s="95"/>
      <c r="J137" s="94"/>
      <c r="K137" s="95"/>
      <c r="L137" s="96"/>
      <c r="M137" s="97"/>
      <c r="N137" s="98"/>
      <c r="O137" s="97"/>
    </row>
    <row r="138" spans="2:15" s="78" customFormat="1" ht="18" customHeight="1" thickBot="1" x14ac:dyDescent="0.25">
      <c r="B138" s="302" t="s">
        <v>262</v>
      </c>
      <c r="C138" s="523"/>
      <c r="D138" s="303"/>
      <c r="E138" s="527"/>
      <c r="F138" s="528">
        <f>SUM(F136:F137)</f>
        <v>0</v>
      </c>
      <c r="G138" s="529">
        <f>SUM(G136:G137)</f>
        <v>0</v>
      </c>
      <c r="I138" s="86"/>
      <c r="J138" s="88"/>
      <c r="K138" s="88"/>
      <c r="L138" s="89"/>
      <c r="M138" s="90"/>
      <c r="N138" s="91"/>
      <c r="O138" s="90"/>
    </row>
    <row r="139" spans="2:15" s="99" customFormat="1" ht="18" customHeight="1" x14ac:dyDescent="0.2">
      <c r="B139" s="306" t="s">
        <v>324</v>
      </c>
      <c r="C139" s="291" t="s">
        <v>50</v>
      </c>
      <c r="D139" s="291" t="s">
        <v>1</v>
      </c>
      <c r="E139" s="554" t="s">
        <v>2</v>
      </c>
      <c r="F139" s="555" t="s">
        <v>5</v>
      </c>
      <c r="G139" s="556" t="s">
        <v>15</v>
      </c>
      <c r="J139" s="100"/>
      <c r="K139" s="101"/>
      <c r="L139" s="102"/>
      <c r="M139" s="103"/>
      <c r="N139" s="104"/>
      <c r="O139" s="103"/>
    </row>
    <row r="140" spans="2:15" s="78" customFormat="1" ht="18" customHeight="1" x14ac:dyDescent="0.2">
      <c r="B140" s="105" t="s">
        <v>201</v>
      </c>
      <c r="C140" s="502">
        <v>0</v>
      </c>
      <c r="D140" s="106" t="s">
        <v>173</v>
      </c>
      <c r="E140" s="491">
        <v>0</v>
      </c>
      <c r="F140" s="403">
        <f>C140*E140</f>
        <v>0</v>
      </c>
      <c r="G140" s="391">
        <f>F140*$C$57</f>
        <v>0</v>
      </c>
      <c r="J140" s="94"/>
      <c r="K140" s="95"/>
      <c r="L140" s="96"/>
      <c r="M140" s="97"/>
      <c r="N140" s="98"/>
      <c r="O140" s="97"/>
    </row>
    <row r="141" spans="2:15" s="78" customFormat="1" ht="18" customHeight="1" x14ac:dyDescent="0.2">
      <c r="B141" s="105" t="s">
        <v>148</v>
      </c>
      <c r="C141" s="502">
        <v>0</v>
      </c>
      <c r="D141" s="107" t="s">
        <v>7</v>
      </c>
      <c r="E141" s="491">
        <v>0</v>
      </c>
      <c r="F141" s="403">
        <f t="shared" ref="F141:F149" si="1">C141*E141</f>
        <v>0</v>
      </c>
      <c r="G141" s="391">
        <f t="shared" ref="G141:G149" si="2">F141*$C$57</f>
        <v>0</v>
      </c>
      <c r="I141" s="95"/>
      <c r="J141" s="94"/>
      <c r="K141" s="95"/>
      <c r="L141" s="96"/>
      <c r="M141" s="97"/>
      <c r="N141" s="98"/>
      <c r="O141" s="97"/>
    </row>
    <row r="142" spans="2:15" s="78" customFormat="1" ht="18" customHeight="1" x14ac:dyDescent="0.2">
      <c r="B142" s="105" t="s">
        <v>70</v>
      </c>
      <c r="C142" s="502">
        <v>0</v>
      </c>
      <c r="D142" s="107" t="s">
        <v>3</v>
      </c>
      <c r="E142" s="491">
        <v>0</v>
      </c>
      <c r="F142" s="403">
        <f t="shared" si="1"/>
        <v>0</v>
      </c>
      <c r="G142" s="391">
        <f t="shared" si="2"/>
        <v>0</v>
      </c>
      <c r="I142" s="657"/>
      <c r="J142" s="657"/>
      <c r="K142" s="657"/>
      <c r="L142" s="657"/>
      <c r="M142" s="657"/>
      <c r="N142" s="657"/>
      <c r="O142" s="97"/>
    </row>
    <row r="143" spans="2:15" s="78" customFormat="1" ht="18" customHeight="1" x14ac:dyDescent="0.2">
      <c r="B143" s="105" t="s">
        <v>71</v>
      </c>
      <c r="C143" s="502">
        <v>0</v>
      </c>
      <c r="D143" s="107" t="s">
        <v>3</v>
      </c>
      <c r="E143" s="491">
        <v>0</v>
      </c>
      <c r="F143" s="403">
        <f t="shared" si="1"/>
        <v>0</v>
      </c>
      <c r="G143" s="391">
        <f t="shared" si="2"/>
        <v>0</v>
      </c>
      <c r="I143" s="86"/>
      <c r="J143" s="88"/>
      <c r="K143" s="88"/>
      <c r="L143" s="89"/>
      <c r="M143" s="90"/>
      <c r="N143" s="91"/>
      <c r="O143" s="90"/>
    </row>
    <row r="144" spans="2:15" s="78" customFormat="1" ht="18" customHeight="1" x14ac:dyDescent="0.2">
      <c r="B144" s="105" t="s">
        <v>72</v>
      </c>
      <c r="C144" s="502">
        <v>0</v>
      </c>
      <c r="D144" s="107" t="s">
        <v>6</v>
      </c>
      <c r="E144" s="491">
        <v>0</v>
      </c>
      <c r="F144" s="403">
        <f t="shared" si="1"/>
        <v>0</v>
      </c>
      <c r="G144" s="391">
        <f t="shared" si="2"/>
        <v>0</v>
      </c>
      <c r="J144" s="94"/>
      <c r="K144" s="95"/>
      <c r="L144" s="96"/>
      <c r="M144" s="97"/>
      <c r="N144" s="98"/>
      <c r="O144" s="97"/>
    </row>
    <row r="145" spans="2:15" s="78" customFormat="1" ht="18" customHeight="1" x14ac:dyDescent="0.2">
      <c r="B145" s="105" t="s">
        <v>10</v>
      </c>
      <c r="C145" s="502">
        <v>0</v>
      </c>
      <c r="D145" s="107" t="s">
        <v>6</v>
      </c>
      <c r="E145" s="491">
        <v>0</v>
      </c>
      <c r="F145" s="403">
        <f t="shared" si="1"/>
        <v>0</v>
      </c>
      <c r="G145" s="391">
        <f t="shared" si="2"/>
        <v>0</v>
      </c>
      <c r="I145" s="95"/>
      <c r="J145" s="94"/>
      <c r="K145" s="95"/>
      <c r="L145" s="96"/>
      <c r="M145" s="97"/>
      <c r="N145" s="98"/>
      <c r="O145" s="97"/>
    </row>
    <row r="146" spans="2:15" s="78" customFormat="1" ht="18" customHeight="1" x14ac:dyDescent="0.2">
      <c r="B146" s="105" t="s">
        <v>8</v>
      </c>
      <c r="C146" s="502">
        <v>0</v>
      </c>
      <c r="D146" s="107" t="s">
        <v>9</v>
      </c>
      <c r="E146" s="491">
        <v>0</v>
      </c>
      <c r="F146" s="403">
        <f t="shared" si="1"/>
        <v>0</v>
      </c>
      <c r="G146" s="391">
        <f t="shared" si="2"/>
        <v>0</v>
      </c>
      <c r="I146" s="95"/>
      <c r="J146" s="94"/>
      <c r="K146" s="95"/>
      <c r="L146" s="96"/>
      <c r="M146" s="97"/>
      <c r="N146" s="98"/>
      <c r="O146" s="97"/>
    </row>
    <row r="147" spans="2:15" s="78" customFormat="1" ht="18" customHeight="1" x14ac:dyDescent="0.2">
      <c r="B147" s="108" t="s">
        <v>26</v>
      </c>
      <c r="C147" s="502">
        <v>0</v>
      </c>
      <c r="D147" s="107"/>
      <c r="E147" s="491">
        <v>0</v>
      </c>
      <c r="F147" s="403">
        <f t="shared" si="1"/>
        <v>0</v>
      </c>
      <c r="G147" s="391">
        <f t="shared" si="2"/>
        <v>0</v>
      </c>
      <c r="I147" s="657"/>
      <c r="J147" s="657"/>
      <c r="K147" s="657"/>
      <c r="L147" s="657"/>
      <c r="M147" s="657"/>
      <c r="N147" s="657"/>
      <c r="O147" s="97"/>
    </row>
    <row r="148" spans="2:15" s="78" customFormat="1" ht="18" customHeight="1" x14ac:dyDescent="0.2">
      <c r="B148" s="108" t="s">
        <v>26</v>
      </c>
      <c r="C148" s="502">
        <v>0</v>
      </c>
      <c r="D148" s="107"/>
      <c r="E148" s="491">
        <v>0</v>
      </c>
      <c r="F148" s="403">
        <f t="shared" si="1"/>
        <v>0</v>
      </c>
      <c r="G148" s="391">
        <f t="shared" si="2"/>
        <v>0</v>
      </c>
      <c r="I148" s="86"/>
      <c r="J148" s="88"/>
      <c r="K148" s="88"/>
      <c r="L148" s="89"/>
      <c r="M148" s="90"/>
      <c r="N148" s="91"/>
      <c r="O148" s="90"/>
    </row>
    <row r="149" spans="2:15" s="78" customFormat="1" ht="18" customHeight="1" x14ac:dyDescent="0.2">
      <c r="B149" s="108" t="s">
        <v>26</v>
      </c>
      <c r="C149" s="502">
        <v>0</v>
      </c>
      <c r="D149" s="107"/>
      <c r="E149" s="491">
        <v>0</v>
      </c>
      <c r="F149" s="403">
        <f t="shared" si="1"/>
        <v>0</v>
      </c>
      <c r="G149" s="391">
        <f t="shared" si="2"/>
        <v>0</v>
      </c>
      <c r="J149" s="94"/>
      <c r="K149" s="95"/>
      <c r="L149" s="96"/>
      <c r="M149" s="97"/>
      <c r="N149" s="98"/>
      <c r="O149" s="97"/>
    </row>
    <row r="150" spans="2:15" s="78" customFormat="1" ht="18" customHeight="1" thickBot="1" x14ac:dyDescent="0.25">
      <c r="B150" s="158" t="s">
        <v>262</v>
      </c>
      <c r="C150" s="520"/>
      <c r="D150" s="115"/>
      <c r="E150" s="524"/>
      <c r="F150" s="530">
        <f>SUM(F140:F149)</f>
        <v>0</v>
      </c>
      <c r="G150" s="525">
        <f>SUM(G140:G149)</f>
        <v>0</v>
      </c>
      <c r="I150" s="657"/>
      <c r="J150" s="657"/>
      <c r="K150" s="657"/>
      <c r="L150" s="657"/>
      <c r="M150" s="657"/>
      <c r="N150" s="657"/>
      <c r="O150" s="97"/>
    </row>
    <row r="151" spans="2:15" s="78" customFormat="1" ht="18" customHeight="1" x14ac:dyDescent="0.2">
      <c r="B151" s="304" t="s">
        <v>215</v>
      </c>
      <c r="C151" s="305" t="s">
        <v>50</v>
      </c>
      <c r="D151" s="305" t="s">
        <v>1</v>
      </c>
      <c r="E151" s="299" t="s">
        <v>2</v>
      </c>
      <c r="F151" s="300" t="s">
        <v>5</v>
      </c>
      <c r="G151" s="301" t="s">
        <v>15</v>
      </c>
      <c r="I151" s="95"/>
      <c r="J151" s="94"/>
      <c r="K151" s="95"/>
      <c r="L151" s="96"/>
      <c r="M151" s="97"/>
      <c r="N151" s="98"/>
      <c r="O151" s="97"/>
    </row>
    <row r="152" spans="2:15" s="78" customFormat="1" ht="18" customHeight="1" x14ac:dyDescent="0.2">
      <c r="B152" s="109" t="s">
        <v>209</v>
      </c>
      <c r="C152" s="502">
        <v>0</v>
      </c>
      <c r="D152" s="106" t="s">
        <v>211</v>
      </c>
      <c r="E152" s="491">
        <v>0</v>
      </c>
      <c r="F152" s="403">
        <f>C152*E152</f>
        <v>0</v>
      </c>
      <c r="G152" s="391">
        <f>F152*$C$57</f>
        <v>0</v>
      </c>
      <c r="I152" s="657"/>
      <c r="J152" s="657"/>
      <c r="K152" s="657"/>
      <c r="L152" s="657"/>
      <c r="M152" s="657"/>
      <c r="N152" s="657"/>
      <c r="O152" s="97"/>
    </row>
    <row r="153" spans="2:15" s="78" customFormat="1" ht="18" customHeight="1" x14ac:dyDescent="0.2">
      <c r="B153" s="109" t="s">
        <v>208</v>
      </c>
      <c r="C153" s="502">
        <v>0</v>
      </c>
      <c r="D153" s="106" t="s">
        <v>212</v>
      </c>
      <c r="E153" s="491">
        <v>0</v>
      </c>
      <c r="F153" s="403">
        <f>C153*E153</f>
        <v>0</v>
      </c>
      <c r="G153" s="391">
        <f t="shared" ref="G153:G156" si="3">F153*$C$57</f>
        <v>0</v>
      </c>
      <c r="I153" s="86"/>
      <c r="J153" s="88"/>
      <c r="K153" s="88"/>
      <c r="L153" s="89"/>
      <c r="M153" s="90"/>
      <c r="N153" s="91"/>
      <c r="O153" s="90"/>
    </row>
    <row r="154" spans="2:15" s="78" customFormat="1" ht="18" customHeight="1" x14ac:dyDescent="0.2">
      <c r="B154" s="109" t="s">
        <v>210</v>
      </c>
      <c r="C154" s="502">
        <v>0</v>
      </c>
      <c r="D154" s="106" t="s">
        <v>213</v>
      </c>
      <c r="E154" s="491">
        <v>0</v>
      </c>
      <c r="F154" s="403">
        <f>C154*E154</f>
        <v>0</v>
      </c>
      <c r="G154" s="391">
        <f t="shared" si="3"/>
        <v>0</v>
      </c>
      <c r="I154" s="95"/>
      <c r="J154" s="94"/>
      <c r="K154" s="95"/>
      <c r="L154" s="96"/>
      <c r="M154" s="97"/>
      <c r="N154" s="98"/>
      <c r="O154" s="97"/>
    </row>
    <row r="155" spans="2:15" s="78" customFormat="1" ht="18" customHeight="1" x14ac:dyDescent="0.2">
      <c r="B155" s="108" t="s">
        <v>26</v>
      </c>
      <c r="C155" s="502">
        <v>0</v>
      </c>
      <c r="D155" s="107"/>
      <c r="E155" s="491">
        <v>0</v>
      </c>
      <c r="F155" s="403">
        <f>C155*E155</f>
        <v>0</v>
      </c>
      <c r="G155" s="391">
        <f t="shared" si="3"/>
        <v>0</v>
      </c>
      <c r="I155" s="95"/>
      <c r="J155" s="94"/>
      <c r="K155" s="95"/>
      <c r="L155" s="96"/>
      <c r="M155" s="97"/>
      <c r="N155" s="98"/>
      <c r="O155" s="97"/>
    </row>
    <row r="156" spans="2:15" s="78" customFormat="1" ht="18" customHeight="1" x14ac:dyDescent="0.2">
      <c r="B156" s="108" t="s">
        <v>26</v>
      </c>
      <c r="C156" s="502">
        <v>0</v>
      </c>
      <c r="D156" s="107"/>
      <c r="E156" s="491">
        <v>0</v>
      </c>
      <c r="F156" s="403">
        <f>C156*E156</f>
        <v>0</v>
      </c>
      <c r="G156" s="391">
        <f t="shared" si="3"/>
        <v>0</v>
      </c>
      <c r="I156" s="95"/>
      <c r="J156" s="94"/>
      <c r="K156" s="95"/>
      <c r="L156" s="96"/>
      <c r="M156" s="97"/>
      <c r="N156" s="98"/>
      <c r="O156" s="97"/>
    </row>
    <row r="157" spans="2:15" s="78" customFormat="1" ht="18" customHeight="1" thickBot="1" x14ac:dyDescent="0.25">
      <c r="B157" s="158" t="s">
        <v>262</v>
      </c>
      <c r="C157" s="520"/>
      <c r="D157" s="115"/>
      <c r="E157" s="524"/>
      <c r="F157" s="530">
        <f>SUM(F152:F156)</f>
        <v>0</v>
      </c>
      <c r="G157" s="525">
        <f>SUM(G152:G156)</f>
        <v>0</v>
      </c>
    </row>
    <row r="158" spans="2:15" s="78" customFormat="1" ht="18" customHeight="1" x14ac:dyDescent="0.2">
      <c r="B158" s="90"/>
      <c r="F158" s="113"/>
      <c r="G158" s="113"/>
    </row>
    <row r="159" spans="2:15" s="78" customFormat="1" ht="18" customHeight="1" thickBot="1" x14ac:dyDescent="0.25">
      <c r="F159" s="113"/>
      <c r="G159" s="79"/>
    </row>
    <row r="160" spans="2:15" s="85" customFormat="1" ht="18" customHeight="1" thickBot="1" x14ac:dyDescent="0.25">
      <c r="B160" s="595" t="s">
        <v>325</v>
      </c>
      <c r="C160" s="596"/>
      <c r="D160" s="596"/>
      <c r="E160" s="596"/>
      <c r="F160" s="596"/>
      <c r="G160" s="597"/>
    </row>
    <row r="161" spans="2:7" s="85" customFormat="1" ht="18" customHeight="1" thickBot="1" x14ac:dyDescent="0.25">
      <c r="B161" s="662" t="str">
        <f>"* Remember: Estimated Crop Yield Per Bed Is "&amp;'Project Yield'!C130&amp;" "&amp;'Project Yield'!D130</f>
        <v xml:space="preserve">* Remember: Estimated Crop Yield Per Bed Is  </v>
      </c>
      <c r="C161" s="663"/>
      <c r="D161" s="663"/>
      <c r="E161" s="663"/>
      <c r="F161" s="663"/>
      <c r="G161" s="664"/>
    </row>
    <row r="162" spans="2:7" s="78" customFormat="1" ht="18" customHeight="1" x14ac:dyDescent="0.2">
      <c r="B162" s="307" t="s">
        <v>94</v>
      </c>
      <c r="C162" s="291" t="s">
        <v>50</v>
      </c>
      <c r="D162" s="291" t="s">
        <v>1</v>
      </c>
      <c r="E162" s="292" t="s">
        <v>2</v>
      </c>
      <c r="F162" s="261" t="s">
        <v>5</v>
      </c>
      <c r="G162" s="293" t="s">
        <v>15</v>
      </c>
    </row>
    <row r="163" spans="2:7" s="78" customFormat="1" ht="18" customHeight="1" x14ac:dyDescent="0.2">
      <c r="B163" s="105" t="s">
        <v>83</v>
      </c>
      <c r="C163" s="502">
        <v>0</v>
      </c>
      <c r="D163" s="106"/>
      <c r="E163" s="491">
        <v>0</v>
      </c>
      <c r="F163" s="403">
        <f>C163*E163</f>
        <v>0</v>
      </c>
      <c r="G163" s="391">
        <f>F163*$C$57</f>
        <v>0</v>
      </c>
    </row>
    <row r="164" spans="2:7" s="78" customFormat="1" ht="18" customHeight="1" x14ac:dyDescent="0.2">
      <c r="B164" s="108" t="s">
        <v>26</v>
      </c>
      <c r="C164" s="502">
        <v>0</v>
      </c>
      <c r="D164" s="106"/>
      <c r="E164" s="491">
        <v>0</v>
      </c>
      <c r="F164" s="403">
        <f>C164*E164</f>
        <v>0</v>
      </c>
      <c r="G164" s="391">
        <f t="shared" ref="G164:G165" si="4">F164*$C$57</f>
        <v>0</v>
      </c>
    </row>
    <row r="165" spans="2:7" s="78" customFormat="1" ht="18" customHeight="1" x14ac:dyDescent="0.2">
      <c r="B165" s="108" t="s">
        <v>26</v>
      </c>
      <c r="C165" s="502">
        <v>0</v>
      </c>
      <c r="D165" s="106"/>
      <c r="E165" s="491">
        <v>0</v>
      </c>
      <c r="F165" s="403">
        <f>C165*E165</f>
        <v>0</v>
      </c>
      <c r="G165" s="391">
        <f t="shared" si="4"/>
        <v>0</v>
      </c>
    </row>
    <row r="166" spans="2:7" s="78" customFormat="1" ht="18" customHeight="1" thickBot="1" x14ac:dyDescent="0.25">
      <c r="B166" s="158" t="s">
        <v>262</v>
      </c>
      <c r="C166" s="520"/>
      <c r="D166" s="115"/>
      <c r="E166" s="524"/>
      <c r="F166" s="493">
        <f>SUM(F163:F165)</f>
        <v>0</v>
      </c>
      <c r="G166" s="462">
        <f>SUM(G163:G165)</f>
        <v>0</v>
      </c>
    </row>
    <row r="167" spans="2:7" s="78" customFormat="1" ht="18" customHeight="1" x14ac:dyDescent="0.2">
      <c r="B167" s="255" t="s">
        <v>84</v>
      </c>
      <c r="C167" s="305" t="s">
        <v>50</v>
      </c>
      <c r="D167" s="305" t="s">
        <v>1</v>
      </c>
      <c r="E167" s="299" t="s">
        <v>2</v>
      </c>
      <c r="F167" s="300" t="s">
        <v>5</v>
      </c>
      <c r="G167" s="301" t="s">
        <v>15</v>
      </c>
    </row>
    <row r="168" spans="2:7" s="78" customFormat="1" ht="18" customHeight="1" x14ac:dyDescent="0.2">
      <c r="B168" s="105" t="s">
        <v>83</v>
      </c>
      <c r="C168" s="502">
        <v>0</v>
      </c>
      <c r="D168" s="106" t="s">
        <v>214</v>
      </c>
      <c r="E168" s="491">
        <v>0</v>
      </c>
      <c r="F168" s="403">
        <f>C168*E168</f>
        <v>0</v>
      </c>
      <c r="G168" s="391">
        <f>F168*$C$57</f>
        <v>0</v>
      </c>
    </row>
    <row r="169" spans="2:7" s="78" customFormat="1" ht="18" customHeight="1" x14ac:dyDescent="0.2">
      <c r="B169" s="108" t="s">
        <v>26</v>
      </c>
      <c r="C169" s="502">
        <v>0</v>
      </c>
      <c r="D169" s="106"/>
      <c r="E169" s="491">
        <v>0</v>
      </c>
      <c r="F169" s="403">
        <f>C169*E169</f>
        <v>0</v>
      </c>
      <c r="G169" s="391">
        <f t="shared" ref="G169:G170" si="5">F169*$C$57</f>
        <v>0</v>
      </c>
    </row>
    <row r="170" spans="2:7" s="78" customFormat="1" ht="18" customHeight="1" x14ac:dyDescent="0.2">
      <c r="B170" s="108" t="s">
        <v>26</v>
      </c>
      <c r="C170" s="502">
        <v>0</v>
      </c>
      <c r="D170" s="106"/>
      <c r="E170" s="491">
        <v>0</v>
      </c>
      <c r="F170" s="403">
        <f>C170*E170</f>
        <v>0</v>
      </c>
      <c r="G170" s="391">
        <f t="shared" si="5"/>
        <v>0</v>
      </c>
    </row>
    <row r="171" spans="2:7" s="78" customFormat="1" ht="18" customHeight="1" thickBot="1" x14ac:dyDescent="0.25">
      <c r="B171" s="308" t="s">
        <v>262</v>
      </c>
      <c r="C171" s="521"/>
      <c r="D171" s="309"/>
      <c r="E171" s="531"/>
      <c r="F171" s="532">
        <f>SUM(F168:F170)</f>
        <v>0</v>
      </c>
      <c r="G171" s="533">
        <f>SUM(G168:G170)</f>
        <v>0</v>
      </c>
    </row>
    <row r="172" spans="2:7" s="78" customFormat="1" ht="18" customHeight="1" x14ac:dyDescent="0.2">
      <c r="B172" s="253" t="s">
        <v>85</v>
      </c>
      <c r="C172" s="291" t="s">
        <v>50</v>
      </c>
      <c r="D172" s="291" t="s">
        <v>1</v>
      </c>
      <c r="E172" s="292" t="s">
        <v>2</v>
      </c>
      <c r="F172" s="261" t="s">
        <v>5</v>
      </c>
      <c r="G172" s="293" t="s">
        <v>15</v>
      </c>
    </row>
    <row r="173" spans="2:7" s="78" customFormat="1" ht="18" customHeight="1" x14ac:dyDescent="0.2">
      <c r="B173" s="105" t="s">
        <v>83</v>
      </c>
      <c r="C173" s="502">
        <v>0</v>
      </c>
      <c r="D173" s="106" t="s">
        <v>74</v>
      </c>
      <c r="E173" s="491">
        <v>0</v>
      </c>
      <c r="F173" s="403">
        <f>C173*E173</f>
        <v>0</v>
      </c>
      <c r="G173" s="391">
        <f>F173*$C$57</f>
        <v>0</v>
      </c>
    </row>
    <row r="174" spans="2:7" s="78" customFormat="1" ht="18" customHeight="1" x14ac:dyDescent="0.2">
      <c r="B174" s="108" t="s">
        <v>26</v>
      </c>
      <c r="C174" s="502">
        <v>0</v>
      </c>
      <c r="D174" s="106"/>
      <c r="E174" s="491">
        <v>0</v>
      </c>
      <c r="F174" s="403">
        <f>C174*E174</f>
        <v>0</v>
      </c>
      <c r="G174" s="391">
        <f t="shared" ref="G174:G175" si="6">F174*$C$57</f>
        <v>0</v>
      </c>
    </row>
    <row r="175" spans="2:7" s="78" customFormat="1" ht="18" customHeight="1" x14ac:dyDescent="0.2">
      <c r="B175" s="108" t="s">
        <v>26</v>
      </c>
      <c r="C175" s="502">
        <v>0</v>
      </c>
      <c r="D175" s="106"/>
      <c r="E175" s="491">
        <v>0</v>
      </c>
      <c r="F175" s="403">
        <f>C175*E175</f>
        <v>0</v>
      </c>
      <c r="G175" s="391">
        <f t="shared" si="6"/>
        <v>0</v>
      </c>
    </row>
    <row r="176" spans="2:7" s="78" customFormat="1" ht="18" customHeight="1" thickBot="1" x14ac:dyDescent="0.25">
      <c r="B176" s="158" t="s">
        <v>262</v>
      </c>
      <c r="C176" s="520"/>
      <c r="D176" s="115"/>
      <c r="E176" s="524"/>
      <c r="F176" s="493">
        <f>SUM(F173:F175)</f>
        <v>0</v>
      </c>
      <c r="G176" s="462">
        <f>SUM(G173:G175)</f>
        <v>0</v>
      </c>
    </row>
    <row r="177" spans="2:7" s="78" customFormat="1" ht="18" customHeight="1" x14ac:dyDescent="0.2">
      <c r="B177" s="255" t="s">
        <v>86</v>
      </c>
      <c r="C177" s="305" t="s">
        <v>50</v>
      </c>
      <c r="D177" s="305" t="s">
        <v>1</v>
      </c>
      <c r="E177" s="299" t="s">
        <v>2</v>
      </c>
      <c r="F177" s="300" t="s">
        <v>5</v>
      </c>
      <c r="G177" s="301" t="s">
        <v>15</v>
      </c>
    </row>
    <row r="178" spans="2:7" s="78" customFormat="1" ht="18" customHeight="1" x14ac:dyDescent="0.2">
      <c r="B178" s="105" t="s">
        <v>83</v>
      </c>
      <c r="C178" s="502">
        <v>0</v>
      </c>
      <c r="D178" s="106" t="s">
        <v>74</v>
      </c>
      <c r="E178" s="491">
        <v>0</v>
      </c>
      <c r="F178" s="403">
        <f>C178*E178</f>
        <v>0</v>
      </c>
      <c r="G178" s="391">
        <f>F178*$C$57</f>
        <v>0</v>
      </c>
    </row>
    <row r="179" spans="2:7" s="78" customFormat="1" ht="18" customHeight="1" x14ac:dyDescent="0.2">
      <c r="B179" s="108" t="s">
        <v>26</v>
      </c>
      <c r="C179" s="502">
        <v>0</v>
      </c>
      <c r="D179" s="106"/>
      <c r="E179" s="491">
        <v>0</v>
      </c>
      <c r="F179" s="403">
        <f>C179*E179</f>
        <v>0</v>
      </c>
      <c r="G179" s="391">
        <f t="shared" ref="G179:G180" si="7">F179*$C$57</f>
        <v>0</v>
      </c>
    </row>
    <row r="180" spans="2:7" s="78" customFormat="1" ht="18" customHeight="1" x14ac:dyDescent="0.2">
      <c r="B180" s="108" t="s">
        <v>26</v>
      </c>
      <c r="C180" s="502">
        <v>0</v>
      </c>
      <c r="D180" s="106"/>
      <c r="E180" s="491">
        <v>0</v>
      </c>
      <c r="F180" s="403">
        <f>C180*E180</f>
        <v>0</v>
      </c>
      <c r="G180" s="391">
        <f t="shared" si="7"/>
        <v>0</v>
      </c>
    </row>
    <row r="181" spans="2:7" s="78" customFormat="1" ht="18" customHeight="1" x14ac:dyDescent="0.2">
      <c r="B181" s="152" t="s">
        <v>262</v>
      </c>
      <c r="C181" s="522"/>
      <c r="D181" s="110"/>
      <c r="E181" s="403"/>
      <c r="F181" s="534">
        <f>SUM(F178:F180)</f>
        <v>0</v>
      </c>
      <c r="G181" s="535">
        <f>SUM(G178:G180)</f>
        <v>0</v>
      </c>
    </row>
    <row r="182" spans="2:7" s="78" customFormat="1" ht="18" customHeight="1" x14ac:dyDescent="0.2">
      <c r="B182" s="224" t="s">
        <v>328</v>
      </c>
      <c r="C182" s="296" t="s">
        <v>50</v>
      </c>
      <c r="D182" s="296" t="s">
        <v>1</v>
      </c>
      <c r="E182" s="294" t="s">
        <v>2</v>
      </c>
      <c r="F182" s="226" t="s">
        <v>5</v>
      </c>
      <c r="G182" s="295" t="s">
        <v>15</v>
      </c>
    </row>
    <row r="183" spans="2:7" s="78" customFormat="1" ht="18" customHeight="1" x14ac:dyDescent="0.2">
      <c r="B183" s="109" t="s">
        <v>83</v>
      </c>
      <c r="C183" s="502">
        <v>0</v>
      </c>
      <c r="D183" s="106" t="s">
        <v>74</v>
      </c>
      <c r="E183" s="491">
        <v>0</v>
      </c>
      <c r="F183" s="403">
        <f>C183*E183</f>
        <v>0</v>
      </c>
      <c r="G183" s="391">
        <f>F183*$C$57</f>
        <v>0</v>
      </c>
    </row>
    <row r="184" spans="2:7" s="78" customFormat="1" ht="18" customHeight="1" x14ac:dyDescent="0.2">
      <c r="B184" s="108" t="s">
        <v>26</v>
      </c>
      <c r="C184" s="502">
        <v>0</v>
      </c>
      <c r="D184" s="106"/>
      <c r="E184" s="491">
        <v>0</v>
      </c>
      <c r="F184" s="403">
        <f>C184*E184</f>
        <v>0</v>
      </c>
      <c r="G184" s="391">
        <f t="shared" ref="G184:G185" si="8">F184*$C$57</f>
        <v>0</v>
      </c>
    </row>
    <row r="185" spans="2:7" s="78" customFormat="1" ht="18" customHeight="1" x14ac:dyDescent="0.2">
      <c r="B185" s="108" t="s">
        <v>26</v>
      </c>
      <c r="C185" s="502">
        <v>0</v>
      </c>
      <c r="D185" s="106"/>
      <c r="E185" s="491">
        <v>0</v>
      </c>
      <c r="F185" s="403">
        <f>C185*E185</f>
        <v>0</v>
      </c>
      <c r="G185" s="391">
        <f t="shared" si="8"/>
        <v>0</v>
      </c>
    </row>
    <row r="186" spans="2:7" s="78" customFormat="1" ht="18" customHeight="1" x14ac:dyDescent="0.2">
      <c r="B186" s="152" t="s">
        <v>262</v>
      </c>
      <c r="C186" s="522"/>
      <c r="D186" s="110"/>
      <c r="E186" s="403"/>
      <c r="F186" s="534">
        <f>SUM(F183:F185)</f>
        <v>0</v>
      </c>
      <c r="G186" s="535">
        <f>SUM(G183:G185)</f>
        <v>0</v>
      </c>
    </row>
    <row r="187" spans="2:7" s="78" customFormat="1" ht="18" customHeight="1" x14ac:dyDescent="0.2">
      <c r="B187" s="224" t="s">
        <v>329</v>
      </c>
      <c r="C187" s="296" t="s">
        <v>50</v>
      </c>
      <c r="D187" s="296" t="s">
        <v>1</v>
      </c>
      <c r="E187" s="294" t="s">
        <v>2</v>
      </c>
      <c r="F187" s="226" t="s">
        <v>5</v>
      </c>
      <c r="G187" s="295" t="s">
        <v>15</v>
      </c>
    </row>
    <row r="188" spans="2:7" s="78" customFormat="1" ht="18" customHeight="1" x14ac:dyDescent="0.2">
      <c r="B188" s="105" t="s">
        <v>83</v>
      </c>
      <c r="C188" s="502">
        <v>0</v>
      </c>
      <c r="D188" s="106" t="s">
        <v>74</v>
      </c>
      <c r="E188" s="491">
        <v>0</v>
      </c>
      <c r="F188" s="403">
        <f>C188*E188</f>
        <v>0</v>
      </c>
      <c r="G188" s="391">
        <f>F188*$C$57</f>
        <v>0</v>
      </c>
    </row>
    <row r="189" spans="2:7" s="78" customFormat="1" ht="18" customHeight="1" x14ac:dyDescent="0.2">
      <c r="B189" s="108" t="s">
        <v>26</v>
      </c>
      <c r="C189" s="502">
        <v>0</v>
      </c>
      <c r="D189" s="106"/>
      <c r="E189" s="491">
        <v>0</v>
      </c>
      <c r="F189" s="403">
        <f>C189*E189</f>
        <v>0</v>
      </c>
      <c r="G189" s="391">
        <f t="shared" ref="G189:G190" si="9">F189*$C$57</f>
        <v>0</v>
      </c>
    </row>
    <row r="190" spans="2:7" s="78" customFormat="1" ht="18" customHeight="1" x14ac:dyDescent="0.2">
      <c r="B190" s="108" t="s">
        <v>26</v>
      </c>
      <c r="C190" s="502">
        <v>0</v>
      </c>
      <c r="D190" s="106"/>
      <c r="E190" s="491">
        <v>0</v>
      </c>
      <c r="F190" s="403">
        <f>C190*E190</f>
        <v>0</v>
      </c>
      <c r="G190" s="391">
        <f t="shared" si="9"/>
        <v>0</v>
      </c>
    </row>
    <row r="191" spans="2:7" s="78" customFormat="1" ht="18" customHeight="1" thickBot="1" x14ac:dyDescent="0.25">
      <c r="B191" s="308" t="s">
        <v>262</v>
      </c>
      <c r="C191" s="521"/>
      <c r="D191" s="309"/>
      <c r="E191" s="531"/>
      <c r="F191" s="532">
        <f>SUM(F188:F190)</f>
        <v>0</v>
      </c>
      <c r="G191" s="533">
        <f>SUM(G188:G190)</f>
        <v>0</v>
      </c>
    </row>
    <row r="192" spans="2:7" s="78" customFormat="1" ht="18" customHeight="1" x14ac:dyDescent="0.2">
      <c r="B192" s="253" t="s">
        <v>330</v>
      </c>
      <c r="C192" s="291" t="s">
        <v>50</v>
      </c>
      <c r="D192" s="291" t="s">
        <v>1</v>
      </c>
      <c r="E192" s="292" t="s">
        <v>2</v>
      </c>
      <c r="F192" s="261" t="s">
        <v>5</v>
      </c>
      <c r="G192" s="293" t="s">
        <v>15</v>
      </c>
    </row>
    <row r="193" spans="2:10" s="78" customFormat="1" ht="18" customHeight="1" x14ac:dyDescent="0.2">
      <c r="B193" s="105" t="s">
        <v>83</v>
      </c>
      <c r="C193" s="502">
        <v>0</v>
      </c>
      <c r="D193" s="106" t="s">
        <v>74</v>
      </c>
      <c r="E193" s="491">
        <v>0</v>
      </c>
      <c r="F193" s="403">
        <f>C193*E193</f>
        <v>0</v>
      </c>
      <c r="G193" s="391">
        <f>F193*$C$57</f>
        <v>0</v>
      </c>
    </row>
    <row r="194" spans="2:10" s="78" customFormat="1" ht="18" customHeight="1" x14ac:dyDescent="0.2">
      <c r="B194" s="108" t="s">
        <v>26</v>
      </c>
      <c r="C194" s="502">
        <v>0</v>
      </c>
      <c r="D194" s="106"/>
      <c r="E194" s="491">
        <v>0</v>
      </c>
      <c r="F194" s="403">
        <f>C194*E194</f>
        <v>0</v>
      </c>
      <c r="G194" s="391">
        <f t="shared" ref="G194:G195" si="10">F194*$C$57</f>
        <v>0</v>
      </c>
    </row>
    <row r="195" spans="2:10" s="78" customFormat="1" ht="18" customHeight="1" x14ac:dyDescent="0.2">
      <c r="B195" s="108" t="s">
        <v>26</v>
      </c>
      <c r="C195" s="502">
        <v>0</v>
      </c>
      <c r="D195" s="106"/>
      <c r="E195" s="491">
        <v>0</v>
      </c>
      <c r="F195" s="403">
        <f>C195*E195</f>
        <v>0</v>
      </c>
      <c r="G195" s="391">
        <f t="shared" si="10"/>
        <v>0</v>
      </c>
    </row>
    <row r="196" spans="2:10" s="78" customFormat="1" ht="18" customHeight="1" thickBot="1" x14ac:dyDescent="0.25">
      <c r="B196" s="158" t="s">
        <v>262</v>
      </c>
      <c r="C196" s="520"/>
      <c r="D196" s="115"/>
      <c r="E196" s="524"/>
      <c r="F196" s="493">
        <f>SUM(F193:F195)</f>
        <v>0</v>
      </c>
      <c r="G196" s="462">
        <f>SUM(G193:G195)</f>
        <v>0</v>
      </c>
    </row>
    <row r="197" spans="2:10" s="78" customFormat="1" ht="18" customHeight="1" x14ac:dyDescent="0.2">
      <c r="B197" s="255" t="s">
        <v>75</v>
      </c>
      <c r="C197" s="305" t="s">
        <v>50</v>
      </c>
      <c r="D197" s="305" t="s">
        <v>1</v>
      </c>
      <c r="E197" s="299" t="s">
        <v>2</v>
      </c>
      <c r="F197" s="300" t="s">
        <v>5</v>
      </c>
      <c r="G197" s="301" t="s">
        <v>15</v>
      </c>
    </row>
    <row r="198" spans="2:10" s="78" customFormat="1" ht="18" customHeight="1" x14ac:dyDescent="0.2">
      <c r="B198" s="108" t="s">
        <v>26</v>
      </c>
      <c r="C198" s="502">
        <v>0</v>
      </c>
      <c r="D198" s="106"/>
      <c r="E198" s="491">
        <v>0</v>
      </c>
      <c r="F198" s="403">
        <f>C198*E198</f>
        <v>0</v>
      </c>
      <c r="G198" s="391">
        <f>F198*$C$57</f>
        <v>0</v>
      </c>
    </row>
    <row r="199" spans="2:10" s="78" customFormat="1" ht="18" customHeight="1" x14ac:dyDescent="0.2">
      <c r="B199" s="108" t="s">
        <v>26</v>
      </c>
      <c r="C199" s="502">
        <v>0</v>
      </c>
      <c r="D199" s="106"/>
      <c r="E199" s="491">
        <v>0</v>
      </c>
      <c r="F199" s="403">
        <f>C199*E199</f>
        <v>0</v>
      </c>
      <c r="G199" s="391">
        <f t="shared" ref="G199:G200" si="11">F199*$C$57</f>
        <v>0</v>
      </c>
    </row>
    <row r="200" spans="2:10" s="78" customFormat="1" ht="18" customHeight="1" x14ac:dyDescent="0.2">
      <c r="B200" s="108" t="s">
        <v>26</v>
      </c>
      <c r="C200" s="502">
        <v>0</v>
      </c>
      <c r="D200" s="106"/>
      <c r="E200" s="491">
        <v>0</v>
      </c>
      <c r="F200" s="403">
        <f>C200*E200</f>
        <v>0</v>
      </c>
      <c r="G200" s="391">
        <f t="shared" si="11"/>
        <v>0</v>
      </c>
    </row>
    <row r="201" spans="2:10" s="78" customFormat="1" ht="18" customHeight="1" thickBot="1" x14ac:dyDescent="0.25">
      <c r="B201" s="158" t="s">
        <v>262</v>
      </c>
      <c r="C201" s="520"/>
      <c r="D201" s="115"/>
      <c r="E201" s="524"/>
      <c r="F201" s="493">
        <f>SUM(F198:F200)</f>
        <v>0</v>
      </c>
      <c r="G201" s="462">
        <f>SUM(G198:G200)</f>
        <v>0</v>
      </c>
    </row>
    <row r="202" spans="2:10" s="78" customFormat="1" ht="18" customHeight="1" x14ac:dyDescent="0.2">
      <c r="F202" s="113"/>
      <c r="G202" s="113"/>
    </row>
    <row r="203" spans="2:10" s="78" customFormat="1" ht="18" customHeight="1" x14ac:dyDescent="0.2">
      <c r="C203" s="111"/>
      <c r="D203" s="111"/>
      <c r="E203" s="608" t="s">
        <v>326</v>
      </c>
      <c r="F203" s="608"/>
      <c r="G203" s="528">
        <f>SUM(F134,F138,F150,F157,F166,F171,F176,F181,F186,F191,F196,F201)</f>
        <v>0</v>
      </c>
    </row>
    <row r="204" spans="2:10" s="78" customFormat="1" ht="18" customHeight="1" x14ac:dyDescent="0.2">
      <c r="E204" s="608" t="s">
        <v>327</v>
      </c>
      <c r="F204" s="608"/>
      <c r="G204" s="528">
        <f>SUM(G134,G138,G150,G157,G166,G171,G176,G181,G186,G191,G196,G201)</f>
        <v>0</v>
      </c>
    </row>
    <row r="205" spans="2:10" s="78" customFormat="1" ht="18" x14ac:dyDescent="0.2">
      <c r="G205" s="79"/>
    </row>
    <row r="206" spans="2:10" ht="18" customHeight="1" thickBot="1" x14ac:dyDescent="0.35">
      <c r="B206" s="10"/>
      <c r="C206" s="10"/>
      <c r="D206" s="10"/>
      <c r="J206" s="23"/>
    </row>
    <row r="207" spans="2:10" ht="27" thickBot="1" x14ac:dyDescent="0.35">
      <c r="B207" s="609" t="s">
        <v>171</v>
      </c>
      <c r="C207" s="610"/>
      <c r="D207" s="61"/>
      <c r="E207" s="10"/>
    </row>
    <row r="208" spans="2:10" ht="16" thickBot="1" x14ac:dyDescent="0.25">
      <c r="D208" s="17"/>
    </row>
    <row r="209" spans="2:14" ht="24.75" customHeight="1" thickBot="1" x14ac:dyDescent="0.3">
      <c r="B209" s="703" t="str">
        <f>"Crop 10: "&amp;B2</f>
        <v>Crop 10: write name here</v>
      </c>
      <c r="C209" s="704"/>
      <c r="D209" s="62"/>
      <c r="E209" s="17"/>
    </row>
    <row r="210" spans="2:14" ht="29.25" customHeight="1" x14ac:dyDescent="0.2">
      <c r="B210" s="4" t="s">
        <v>107</v>
      </c>
      <c r="C210" s="542">
        <f>G48</f>
        <v>0</v>
      </c>
      <c r="D210" s="30"/>
      <c r="E210" s="681"/>
      <c r="F210" s="681"/>
      <c r="G210" s="681"/>
      <c r="H210" s="681"/>
      <c r="I210" s="681"/>
      <c r="J210" s="681"/>
      <c r="K210" s="681"/>
      <c r="L210" s="681"/>
    </row>
    <row r="211" spans="2:14" ht="29.25" customHeight="1" x14ac:dyDescent="0.2">
      <c r="B211" s="1" t="s">
        <v>106</v>
      </c>
      <c r="C211" s="543">
        <f>F113+G204</f>
        <v>0</v>
      </c>
      <c r="D211" s="30"/>
      <c r="E211" s="677"/>
      <c r="F211" s="677"/>
      <c r="G211" s="677"/>
      <c r="H211" s="677"/>
      <c r="I211" s="677"/>
      <c r="J211" s="677"/>
      <c r="K211" s="677"/>
      <c r="L211" s="677"/>
    </row>
    <row r="212" spans="2:14" ht="29.25" customHeight="1" x14ac:dyDescent="0.2">
      <c r="B212" s="343" t="s">
        <v>254</v>
      </c>
      <c r="C212" s="544">
        <f>C210-C211</f>
        <v>0</v>
      </c>
      <c r="D212" s="52"/>
      <c r="E212" s="669"/>
      <c r="F212" s="669"/>
      <c r="G212" s="669"/>
      <c r="H212" s="669"/>
      <c r="I212" s="669"/>
      <c r="J212" s="669"/>
      <c r="K212" s="669"/>
      <c r="L212" s="669"/>
    </row>
    <row r="213" spans="2:14" ht="29.25" customHeight="1" thickBot="1" x14ac:dyDescent="0.25">
      <c r="B213" s="344" t="s">
        <v>19</v>
      </c>
      <c r="C213" s="357">
        <f>IFERROR(C212/C210,0)</f>
        <v>0</v>
      </c>
      <c r="D213" s="356"/>
      <c r="E213" s="681"/>
      <c r="F213" s="681"/>
      <c r="G213" s="681"/>
      <c r="H213" s="681"/>
      <c r="I213" s="681"/>
      <c r="J213" s="681"/>
      <c r="K213" s="681"/>
      <c r="L213" s="681"/>
    </row>
    <row r="214" spans="2:14" ht="29.25" customHeight="1" x14ac:dyDescent="0.2">
      <c r="B214" s="346" t="s">
        <v>109</v>
      </c>
      <c r="C214" s="545">
        <f>IFERROR(C211/G47,0)</f>
        <v>0</v>
      </c>
      <c r="D214" s="52"/>
      <c r="E214" s="688"/>
      <c r="F214" s="688"/>
      <c r="G214" s="688"/>
      <c r="H214" s="688"/>
      <c r="I214" s="688"/>
      <c r="J214" s="688"/>
      <c r="K214" s="688"/>
      <c r="L214" s="688"/>
    </row>
    <row r="215" spans="2:14" ht="29.25" customHeight="1" x14ac:dyDescent="0.2">
      <c r="B215" s="343" t="s">
        <v>95</v>
      </c>
      <c r="C215" s="358" t="str">
        <f>D6</f>
        <v>stem, bouquet, lbs, bucket, jar</v>
      </c>
      <c r="D215" s="63"/>
      <c r="E215" s="17"/>
      <c r="F215" s="681"/>
      <c r="G215" s="681"/>
      <c r="H215" s="681"/>
      <c r="I215" s="681"/>
      <c r="J215" s="681"/>
      <c r="K215" s="681"/>
      <c r="L215" s="681"/>
    </row>
    <row r="216" spans="2:14" ht="29.25" customHeight="1" x14ac:dyDescent="0.2">
      <c r="B216" s="343" t="s">
        <v>174</v>
      </c>
      <c r="C216" s="544">
        <f>IFERROR('Business Analysis'!E62,0)</f>
        <v>0</v>
      </c>
      <c r="D216" s="30"/>
      <c r="E216" s="669"/>
      <c r="F216" s="669"/>
      <c r="G216" s="669"/>
      <c r="H216" s="669"/>
      <c r="I216" s="669"/>
      <c r="J216" s="669"/>
      <c r="K216" s="669"/>
      <c r="L216" s="669"/>
    </row>
    <row r="217" spans="2:14" ht="29.25" customHeight="1" x14ac:dyDescent="0.2">
      <c r="B217" s="343" t="s">
        <v>168</v>
      </c>
      <c r="C217" s="359">
        <f>IFERROR(C216/C210,0)</f>
        <v>0</v>
      </c>
      <c r="D217" s="30"/>
      <c r="E217" s="669"/>
      <c r="F217" s="669"/>
      <c r="G217" s="669"/>
      <c r="H217" s="669"/>
      <c r="I217" s="669"/>
      <c r="J217" s="669"/>
      <c r="K217" s="669"/>
      <c r="L217" s="669"/>
    </row>
    <row r="218" spans="2:14" ht="29.25" customHeight="1" thickBot="1" x14ac:dyDescent="0.25">
      <c r="B218" s="347" t="s">
        <v>105</v>
      </c>
      <c r="C218" s="544">
        <f>IFERROR((C211+C216)/G47,0)</f>
        <v>0</v>
      </c>
      <c r="D218" s="52"/>
      <c r="E218" s="681"/>
      <c r="F218" s="681"/>
      <c r="G218" s="681"/>
      <c r="H218" s="681"/>
      <c r="I218" s="681"/>
      <c r="J218" s="681"/>
      <c r="K218" s="681"/>
      <c r="L218" s="681"/>
    </row>
    <row r="219" spans="2:14" ht="29.25" customHeight="1" x14ac:dyDescent="0.2">
      <c r="B219" s="46" t="s">
        <v>345</v>
      </c>
      <c r="C219" s="542">
        <f>C212-C216</f>
        <v>0</v>
      </c>
      <c r="D219" s="52"/>
      <c r="E219" s="681"/>
      <c r="F219" s="681"/>
      <c r="G219" s="681"/>
      <c r="H219" s="681"/>
      <c r="I219" s="681"/>
      <c r="J219" s="681"/>
      <c r="K219" s="681"/>
      <c r="L219" s="681"/>
    </row>
    <row r="220" spans="2:14" ht="29.25" customHeight="1" x14ac:dyDescent="0.2">
      <c r="B220" s="47" t="s">
        <v>169</v>
      </c>
      <c r="C220" s="546">
        <f>IFERROR(C212/(C55*C57),0)</f>
        <v>0</v>
      </c>
      <c r="D220" s="342"/>
      <c r="E220" s="681"/>
      <c r="F220" s="681"/>
      <c r="G220" s="681"/>
      <c r="H220" s="681"/>
      <c r="I220" s="681"/>
      <c r="J220" s="681"/>
      <c r="K220" s="681"/>
      <c r="L220" s="681"/>
      <c r="M220" s="60"/>
      <c r="N220" s="60"/>
    </row>
    <row r="221" spans="2:14" ht="29.25" customHeight="1" thickBot="1" x14ac:dyDescent="0.25">
      <c r="B221" s="50" t="s">
        <v>111</v>
      </c>
      <c r="C221" s="547">
        <f>IFERROR(C211/(C55*C57),0)</f>
        <v>0</v>
      </c>
      <c r="D221" s="342"/>
      <c r="E221" s="681"/>
      <c r="F221" s="681"/>
      <c r="G221" s="681"/>
      <c r="H221" s="681"/>
      <c r="I221" s="681"/>
      <c r="J221" s="681"/>
      <c r="K221" s="681"/>
      <c r="L221" s="681"/>
      <c r="M221" s="60"/>
      <c r="N221" s="60"/>
    </row>
    <row r="222" spans="2:14" ht="18" customHeight="1" x14ac:dyDescent="0.3">
      <c r="B222" s="10"/>
      <c r="C222" s="10"/>
      <c r="D222" s="10"/>
      <c r="J222" s="23"/>
    </row>
    <row r="223" spans="2:14" ht="18" customHeight="1" x14ac:dyDescent="0.3">
      <c r="B223" s="10"/>
      <c r="C223" s="10"/>
      <c r="D223" s="10"/>
      <c r="J223" s="23"/>
    </row>
    <row r="224" spans="2:14" ht="18" customHeight="1" x14ac:dyDescent="0.3">
      <c r="B224" s="10"/>
      <c r="C224" s="10"/>
      <c r="D224" s="10"/>
      <c r="J224" s="23"/>
    </row>
    <row r="225" spans="2:10" ht="18" customHeight="1" x14ac:dyDescent="0.3">
      <c r="B225" s="10"/>
      <c r="C225" s="10"/>
      <c r="D225" s="10"/>
      <c r="J225" s="23"/>
    </row>
    <row r="226" spans="2:10" ht="18" customHeight="1" x14ac:dyDescent="0.3">
      <c r="B226" s="10"/>
      <c r="C226" s="10"/>
      <c r="D226" s="10"/>
      <c r="J226" s="23"/>
    </row>
    <row r="227" spans="2:10" ht="18" customHeight="1" x14ac:dyDescent="0.3">
      <c r="B227" s="10"/>
      <c r="C227" s="10"/>
      <c r="D227" s="10"/>
      <c r="J227" s="23"/>
    </row>
    <row r="228" spans="2:10" ht="18" customHeight="1" x14ac:dyDescent="0.3">
      <c r="B228" s="10"/>
      <c r="C228" s="10"/>
      <c r="D228" s="10"/>
      <c r="J228" s="23"/>
    </row>
    <row r="229" spans="2:10" ht="18" customHeight="1" x14ac:dyDescent="0.3">
      <c r="B229" s="10"/>
      <c r="C229" s="10"/>
      <c r="D229" s="10"/>
      <c r="J229" s="23"/>
    </row>
    <row r="230" spans="2:10" ht="18" customHeight="1" x14ac:dyDescent="0.3">
      <c r="B230" s="10"/>
      <c r="C230" s="10"/>
      <c r="D230" s="10"/>
      <c r="J230" s="23"/>
    </row>
    <row r="231" spans="2:10" ht="18" customHeight="1" x14ac:dyDescent="0.3">
      <c r="B231" s="10"/>
      <c r="C231" s="10"/>
      <c r="D231" s="10"/>
      <c r="J231" s="23"/>
    </row>
    <row r="232" spans="2:10" ht="18" customHeight="1" x14ac:dyDescent="0.3">
      <c r="B232" s="10"/>
      <c r="C232" s="10"/>
      <c r="D232" s="10"/>
      <c r="J232" s="23"/>
    </row>
    <row r="233" spans="2:10" ht="18" customHeight="1" x14ac:dyDescent="0.3">
      <c r="B233" s="10"/>
      <c r="C233" s="10"/>
      <c r="D233" s="10"/>
      <c r="J233" s="23"/>
    </row>
    <row r="234" spans="2:10" ht="18" customHeight="1" x14ac:dyDescent="0.3">
      <c r="B234" s="10"/>
      <c r="C234" s="10"/>
      <c r="D234" s="10"/>
      <c r="J234" s="23"/>
    </row>
    <row r="235" spans="2:10" ht="18" customHeight="1" x14ac:dyDescent="0.3">
      <c r="B235" s="10"/>
      <c r="C235" s="10"/>
      <c r="D235" s="10"/>
      <c r="J235" s="23"/>
    </row>
    <row r="236" spans="2:10" ht="18" customHeight="1" x14ac:dyDescent="0.3">
      <c r="B236" s="10"/>
      <c r="C236" s="10"/>
      <c r="D236" s="10"/>
      <c r="J236" s="23"/>
    </row>
    <row r="237" spans="2:10" ht="18" customHeight="1" x14ac:dyDescent="0.3">
      <c r="B237" s="10"/>
      <c r="C237" s="10"/>
      <c r="D237" s="10"/>
      <c r="J237" s="23"/>
    </row>
    <row r="238" spans="2:10" ht="18" customHeight="1" x14ac:dyDescent="0.3">
      <c r="B238" s="10"/>
      <c r="C238" s="10"/>
      <c r="D238" s="10"/>
      <c r="J238" s="23"/>
    </row>
    <row r="239" spans="2:10" ht="18" customHeight="1" x14ac:dyDescent="0.3">
      <c r="B239" s="10"/>
      <c r="C239" s="10"/>
      <c r="D239" s="10"/>
      <c r="J239" s="23"/>
    </row>
    <row r="240" spans="2:10" ht="18" customHeight="1" x14ac:dyDescent="0.3">
      <c r="B240" s="10"/>
      <c r="C240" s="10"/>
      <c r="D240" s="10"/>
      <c r="J240" s="23"/>
    </row>
    <row r="241" spans="2:10" ht="18" customHeight="1" x14ac:dyDescent="0.3">
      <c r="B241" s="10"/>
      <c r="C241" s="10"/>
      <c r="D241" s="10"/>
      <c r="J241" s="23"/>
    </row>
    <row r="242" spans="2:10" ht="18" customHeight="1" x14ac:dyDescent="0.3">
      <c r="B242" s="10"/>
      <c r="C242" s="10"/>
      <c r="D242" s="10"/>
      <c r="J242" s="23"/>
    </row>
    <row r="243" spans="2:10" ht="18" customHeight="1" x14ac:dyDescent="0.3">
      <c r="B243" s="10"/>
      <c r="C243" s="10"/>
      <c r="D243" s="10"/>
      <c r="J243" s="23"/>
    </row>
    <row r="244" spans="2:10" ht="18" customHeight="1" x14ac:dyDescent="0.3">
      <c r="B244" s="10"/>
      <c r="C244" s="10"/>
      <c r="D244" s="10"/>
      <c r="J244" s="23"/>
    </row>
    <row r="245" spans="2:10" ht="18" customHeight="1" x14ac:dyDescent="0.3">
      <c r="B245" s="10"/>
      <c r="C245" s="10"/>
      <c r="D245" s="10"/>
      <c r="J245" s="23"/>
    </row>
    <row r="246" spans="2:10" ht="18" customHeight="1" x14ac:dyDescent="0.3">
      <c r="B246" s="10"/>
      <c r="C246" s="10"/>
      <c r="D246" s="10"/>
      <c r="J246" s="23"/>
    </row>
    <row r="247" spans="2:10" ht="18" customHeight="1" x14ac:dyDescent="0.3">
      <c r="B247" s="10"/>
      <c r="C247" s="10"/>
      <c r="D247" s="10"/>
      <c r="J247" s="23"/>
    </row>
    <row r="248" spans="2:10" ht="18" customHeight="1" x14ac:dyDescent="0.3">
      <c r="B248" s="10"/>
      <c r="C248" s="10"/>
      <c r="D248" s="10"/>
      <c r="J248" s="23"/>
    </row>
    <row r="249" spans="2:10" ht="18" customHeight="1" x14ac:dyDescent="0.3">
      <c r="B249" s="10"/>
      <c r="C249" s="10"/>
      <c r="D249" s="10"/>
      <c r="J249" s="23"/>
    </row>
    <row r="250" spans="2:10" ht="18" customHeight="1" x14ac:dyDescent="0.3">
      <c r="B250" s="10"/>
      <c r="C250" s="10"/>
      <c r="D250" s="10"/>
      <c r="J250" s="23"/>
    </row>
    <row r="251" spans="2:10" ht="18" customHeight="1" x14ac:dyDescent="0.3">
      <c r="B251" s="10"/>
      <c r="C251" s="10"/>
      <c r="D251" s="10"/>
      <c r="J251" s="23"/>
    </row>
    <row r="252" spans="2:10" ht="18" customHeight="1" x14ac:dyDescent="0.3">
      <c r="B252" s="10"/>
      <c r="C252" s="10"/>
      <c r="D252" s="10"/>
      <c r="J252" s="23"/>
    </row>
    <row r="253" spans="2:10" ht="18" customHeight="1" x14ac:dyDescent="0.3">
      <c r="B253" s="10"/>
      <c r="C253" s="10"/>
      <c r="D253" s="10"/>
      <c r="J253" s="23"/>
    </row>
    <row r="254" spans="2:10" ht="18" customHeight="1" x14ac:dyDescent="0.3">
      <c r="B254" s="10"/>
      <c r="C254" s="10"/>
      <c r="D254" s="10"/>
      <c r="J254" s="23"/>
    </row>
    <row r="255" spans="2:10" ht="18" customHeight="1" x14ac:dyDescent="0.3">
      <c r="B255" s="10"/>
      <c r="C255" s="10"/>
      <c r="D255" s="10"/>
      <c r="J255" s="23"/>
    </row>
    <row r="256" spans="2:10" ht="18" customHeight="1" x14ac:dyDescent="0.3">
      <c r="B256" s="10"/>
      <c r="C256" s="10"/>
      <c r="D256" s="10"/>
      <c r="J256" s="23"/>
    </row>
    <row r="257" spans="2:10" ht="18" customHeight="1" x14ac:dyDescent="0.3">
      <c r="B257" s="10"/>
      <c r="C257" s="10"/>
      <c r="D257" s="10"/>
      <c r="J257" s="23"/>
    </row>
    <row r="258" spans="2:10" ht="18" customHeight="1" x14ac:dyDescent="0.3">
      <c r="B258" s="10"/>
      <c r="C258" s="10"/>
      <c r="D258" s="10"/>
      <c r="J258" s="23"/>
    </row>
    <row r="259" spans="2:10" ht="18" customHeight="1" x14ac:dyDescent="0.3">
      <c r="B259" s="10"/>
      <c r="C259" s="10"/>
      <c r="D259" s="10"/>
      <c r="J259" s="23"/>
    </row>
    <row r="260" spans="2:10" ht="18" customHeight="1" x14ac:dyDescent="0.3">
      <c r="B260" s="10"/>
      <c r="C260" s="10"/>
      <c r="D260" s="10"/>
      <c r="J260" s="23"/>
    </row>
    <row r="261" spans="2:10" ht="18" customHeight="1" x14ac:dyDescent="0.3">
      <c r="B261" s="10"/>
      <c r="C261" s="10"/>
      <c r="D261" s="10"/>
      <c r="J261" s="23"/>
    </row>
    <row r="262" spans="2:10" ht="18" customHeight="1" x14ac:dyDescent="0.3">
      <c r="B262" s="10"/>
      <c r="C262" s="10"/>
      <c r="D262" s="10"/>
      <c r="J262" s="23"/>
    </row>
    <row r="263" spans="2:10" ht="18" customHeight="1" x14ac:dyDescent="0.3">
      <c r="B263" s="10"/>
      <c r="C263" s="10"/>
      <c r="D263" s="10"/>
      <c r="J263" s="23"/>
    </row>
    <row r="264" spans="2:10" ht="18" customHeight="1" x14ac:dyDescent="0.3">
      <c r="B264" s="10"/>
      <c r="C264" s="10"/>
      <c r="D264" s="10"/>
      <c r="J264" s="23"/>
    </row>
    <row r="265" spans="2:10" ht="18" customHeight="1" x14ac:dyDescent="0.3">
      <c r="B265" s="10"/>
      <c r="C265" s="10"/>
      <c r="D265" s="10"/>
      <c r="J265" s="23"/>
    </row>
    <row r="266" spans="2:10" ht="18" customHeight="1" x14ac:dyDescent="0.3">
      <c r="B266" s="10"/>
      <c r="C266" s="10"/>
      <c r="D266" s="10"/>
      <c r="J266" s="23"/>
    </row>
    <row r="267" spans="2:10" ht="18" customHeight="1" x14ac:dyDescent="0.3">
      <c r="B267" s="10"/>
      <c r="C267" s="10"/>
      <c r="D267" s="10"/>
      <c r="J267" s="23"/>
    </row>
    <row r="268" spans="2:10" ht="18" customHeight="1" x14ac:dyDescent="0.3">
      <c r="B268" s="10"/>
      <c r="C268" s="10"/>
      <c r="D268" s="10"/>
      <c r="J268" s="23"/>
    </row>
    <row r="269" spans="2:10" ht="18" customHeight="1" x14ac:dyDescent="0.3">
      <c r="B269" s="10"/>
      <c r="C269" s="10"/>
      <c r="D269" s="10"/>
      <c r="J269" s="23"/>
    </row>
    <row r="270" spans="2:10" ht="18" customHeight="1" x14ac:dyDescent="0.3">
      <c r="B270" s="10"/>
      <c r="C270" s="10"/>
      <c r="D270" s="10"/>
      <c r="J270" s="23"/>
    </row>
    <row r="271" spans="2:10" ht="18" customHeight="1" x14ac:dyDescent="0.3">
      <c r="B271" s="10"/>
      <c r="C271" s="10"/>
      <c r="D271" s="10"/>
      <c r="J271" s="23"/>
    </row>
    <row r="272" spans="2:10" ht="18" customHeight="1" x14ac:dyDescent="0.3">
      <c r="B272" s="10"/>
      <c r="C272" s="10"/>
      <c r="D272" s="10"/>
      <c r="J272" s="23"/>
    </row>
    <row r="273" spans="2:10" ht="18" customHeight="1" x14ac:dyDescent="0.3">
      <c r="B273" s="10"/>
      <c r="C273" s="10"/>
      <c r="D273" s="10"/>
      <c r="J273" s="23"/>
    </row>
    <row r="274" spans="2:10" ht="18" customHeight="1" x14ac:dyDescent="0.3">
      <c r="B274" s="10"/>
      <c r="C274" s="10"/>
      <c r="D274" s="10"/>
      <c r="J274" s="23"/>
    </row>
    <row r="275" spans="2:10" ht="18" customHeight="1" x14ac:dyDescent="0.3">
      <c r="B275" s="10"/>
      <c r="C275" s="10"/>
      <c r="D275" s="10"/>
      <c r="J275" s="23"/>
    </row>
    <row r="276" spans="2:10" ht="18" customHeight="1" x14ac:dyDescent="0.3">
      <c r="B276" s="10"/>
      <c r="C276" s="10"/>
      <c r="D276" s="10"/>
      <c r="J276" s="23"/>
    </row>
    <row r="277" spans="2:10" ht="18" customHeight="1" x14ac:dyDescent="0.3">
      <c r="B277" s="10"/>
      <c r="C277" s="10"/>
      <c r="D277" s="10"/>
      <c r="J277" s="23"/>
    </row>
    <row r="278" spans="2:10" ht="18" customHeight="1" x14ac:dyDescent="0.3">
      <c r="B278" s="10"/>
      <c r="C278" s="10"/>
      <c r="D278" s="10"/>
      <c r="J278" s="23"/>
    </row>
    <row r="279" spans="2:10" ht="18" customHeight="1" x14ac:dyDescent="0.3">
      <c r="B279" s="10"/>
      <c r="C279" s="10"/>
      <c r="D279" s="10"/>
      <c r="J279" s="23"/>
    </row>
    <row r="280" spans="2:10" ht="18" customHeight="1" x14ac:dyDescent="0.3">
      <c r="B280" s="10"/>
      <c r="C280" s="10"/>
      <c r="D280" s="10"/>
      <c r="J280" s="23"/>
    </row>
    <row r="281" spans="2:10" ht="18" customHeight="1" x14ac:dyDescent="0.3">
      <c r="B281" s="10"/>
      <c r="C281" s="10"/>
      <c r="D281" s="10"/>
      <c r="J281" s="23"/>
    </row>
    <row r="282" spans="2:10" ht="18" customHeight="1" x14ac:dyDescent="0.3">
      <c r="B282" s="10"/>
      <c r="C282" s="10"/>
      <c r="D282" s="10"/>
      <c r="J282" s="23"/>
    </row>
    <row r="283" spans="2:10" ht="18" customHeight="1" x14ac:dyDescent="0.3">
      <c r="B283" s="10"/>
      <c r="C283" s="10"/>
      <c r="D283" s="10"/>
      <c r="J283" s="23"/>
    </row>
    <row r="284" spans="2:10" ht="18" customHeight="1" x14ac:dyDescent="0.3">
      <c r="B284" s="10"/>
      <c r="C284" s="10"/>
      <c r="D284" s="10"/>
      <c r="J284" s="23"/>
    </row>
    <row r="285" spans="2:10" ht="18" customHeight="1" x14ac:dyDescent="0.3">
      <c r="B285" s="10"/>
      <c r="C285" s="10"/>
      <c r="D285" s="10"/>
      <c r="J285" s="23"/>
    </row>
    <row r="286" spans="2:10" ht="18" customHeight="1" x14ac:dyDescent="0.3">
      <c r="B286" s="10"/>
      <c r="C286" s="10"/>
      <c r="D286" s="10"/>
      <c r="J286" s="23"/>
    </row>
    <row r="287" spans="2:10" ht="18" customHeight="1" x14ac:dyDescent="0.3">
      <c r="B287" s="10"/>
      <c r="C287" s="10"/>
      <c r="D287" s="10"/>
      <c r="J287" s="23"/>
    </row>
    <row r="288" spans="2:10" ht="18" customHeight="1" x14ac:dyDescent="0.3">
      <c r="B288" s="10"/>
      <c r="C288" s="10"/>
      <c r="D288" s="10"/>
      <c r="J288" s="23"/>
    </row>
    <row r="289" spans="2:10" ht="18" customHeight="1" x14ac:dyDescent="0.3">
      <c r="B289" s="10"/>
      <c r="C289" s="10"/>
      <c r="D289" s="10"/>
      <c r="J289" s="23"/>
    </row>
    <row r="290" spans="2:10" ht="18" customHeight="1" x14ac:dyDescent="0.3">
      <c r="B290" s="10"/>
      <c r="C290" s="10"/>
      <c r="D290" s="10"/>
      <c r="J290" s="23"/>
    </row>
    <row r="291" spans="2:10" ht="18" customHeight="1" x14ac:dyDescent="0.3">
      <c r="B291" s="10"/>
      <c r="C291" s="10"/>
      <c r="D291" s="10"/>
      <c r="J291" s="23"/>
    </row>
    <row r="292" spans="2:10" ht="18" customHeight="1" x14ac:dyDescent="0.3">
      <c r="B292" s="10"/>
      <c r="C292" s="10"/>
      <c r="D292" s="10"/>
      <c r="J292" s="23"/>
    </row>
    <row r="293" spans="2:10" ht="18" customHeight="1" x14ac:dyDescent="0.3">
      <c r="B293" s="10"/>
      <c r="C293" s="10"/>
      <c r="D293" s="10"/>
      <c r="J293" s="23"/>
    </row>
    <row r="294" spans="2:10" ht="18" customHeight="1" x14ac:dyDescent="0.3">
      <c r="B294" s="10"/>
      <c r="C294" s="10"/>
      <c r="D294" s="10"/>
      <c r="J294" s="23"/>
    </row>
    <row r="295" spans="2:10" ht="18" customHeight="1" x14ac:dyDescent="0.3">
      <c r="B295" s="10"/>
      <c r="C295" s="10"/>
      <c r="D295" s="10"/>
      <c r="J295" s="23"/>
    </row>
    <row r="296" spans="2:10" ht="18" customHeight="1" x14ac:dyDescent="0.3">
      <c r="B296" s="10"/>
      <c r="C296" s="10"/>
      <c r="D296" s="10"/>
      <c r="J296" s="23"/>
    </row>
    <row r="297" spans="2:10" ht="18" customHeight="1" x14ac:dyDescent="0.3">
      <c r="B297" s="10"/>
      <c r="C297" s="10"/>
      <c r="D297" s="10"/>
      <c r="J297" s="23"/>
    </row>
    <row r="298" spans="2:10" ht="18" customHeight="1" x14ac:dyDescent="0.3">
      <c r="B298" s="10"/>
      <c r="C298" s="10"/>
      <c r="D298" s="10"/>
      <c r="J298" s="23"/>
    </row>
    <row r="299" spans="2:10" ht="18" customHeight="1" x14ac:dyDescent="0.3">
      <c r="B299" s="10"/>
      <c r="C299" s="10"/>
      <c r="D299" s="10"/>
      <c r="J299" s="23"/>
    </row>
    <row r="300" spans="2:10" ht="18" customHeight="1" x14ac:dyDescent="0.3">
      <c r="B300" s="10"/>
      <c r="C300" s="10"/>
      <c r="D300" s="10"/>
      <c r="J300" s="23"/>
    </row>
    <row r="301" spans="2:10" ht="18" customHeight="1" x14ac:dyDescent="0.3">
      <c r="B301" s="10"/>
      <c r="C301" s="10"/>
      <c r="D301" s="10"/>
      <c r="J301" s="23"/>
    </row>
    <row r="302" spans="2:10" ht="18" customHeight="1" x14ac:dyDescent="0.3">
      <c r="B302" s="10"/>
      <c r="C302" s="10"/>
      <c r="D302" s="10"/>
      <c r="J302" s="23"/>
    </row>
    <row r="303" spans="2:10" ht="18" customHeight="1" x14ac:dyDescent="0.3">
      <c r="B303" s="10"/>
      <c r="C303" s="10"/>
      <c r="D303" s="10"/>
      <c r="J303" s="23"/>
    </row>
    <row r="304" spans="2:10" ht="18" customHeight="1" x14ac:dyDescent="0.3">
      <c r="B304" s="10"/>
      <c r="C304" s="10"/>
      <c r="D304" s="10"/>
      <c r="J304" s="23"/>
    </row>
    <row r="305" spans="2:10" ht="18" customHeight="1" x14ac:dyDescent="0.3">
      <c r="B305" s="10"/>
      <c r="C305" s="10"/>
      <c r="D305" s="10"/>
      <c r="J305" s="23"/>
    </row>
    <row r="306" spans="2:10" ht="18" customHeight="1" x14ac:dyDescent="0.3">
      <c r="B306" s="10"/>
      <c r="C306" s="10"/>
      <c r="D306" s="10"/>
      <c r="J306" s="23"/>
    </row>
    <row r="307" spans="2:10" ht="18" customHeight="1" x14ac:dyDescent="0.3">
      <c r="B307" s="10"/>
      <c r="C307" s="10"/>
      <c r="D307" s="10"/>
      <c r="J307" s="23"/>
    </row>
    <row r="308" spans="2:10" ht="18" customHeight="1" x14ac:dyDescent="0.3">
      <c r="B308" s="10"/>
      <c r="C308" s="10"/>
      <c r="D308" s="10"/>
      <c r="J308" s="23"/>
    </row>
    <row r="309" spans="2:10" ht="18" customHeight="1" x14ac:dyDescent="0.3">
      <c r="B309" s="10"/>
      <c r="C309" s="10"/>
      <c r="D309" s="10"/>
      <c r="J309" s="23"/>
    </row>
    <row r="310" spans="2:10" ht="18" customHeight="1" x14ac:dyDescent="0.3">
      <c r="B310" s="10"/>
      <c r="C310" s="10"/>
      <c r="D310" s="10"/>
      <c r="J310" s="23"/>
    </row>
    <row r="311" spans="2:10" ht="18" customHeight="1" x14ac:dyDescent="0.3">
      <c r="B311" s="10"/>
      <c r="C311" s="10"/>
      <c r="D311" s="10"/>
      <c r="J311" s="23"/>
    </row>
    <row r="312" spans="2:10" ht="18" customHeight="1" x14ac:dyDescent="0.3">
      <c r="B312" s="10"/>
      <c r="C312" s="10"/>
      <c r="D312" s="10"/>
      <c r="J312" s="23"/>
    </row>
    <row r="313" spans="2:10" ht="18" customHeight="1" x14ac:dyDescent="0.3">
      <c r="B313" s="10"/>
      <c r="C313" s="10"/>
      <c r="D313" s="10"/>
      <c r="J313" s="23"/>
    </row>
    <row r="314" spans="2:10" ht="18" customHeight="1" x14ac:dyDescent="0.3">
      <c r="B314" s="10"/>
      <c r="C314" s="10"/>
      <c r="D314" s="10"/>
      <c r="J314" s="23"/>
    </row>
    <row r="315" spans="2:10" ht="18" customHeight="1" x14ac:dyDescent="0.3">
      <c r="B315" s="10"/>
      <c r="C315" s="10"/>
      <c r="D315" s="10"/>
      <c r="J315" s="23"/>
    </row>
    <row r="316" spans="2:10" ht="18" customHeight="1" x14ac:dyDescent="0.3">
      <c r="B316" s="10"/>
      <c r="C316" s="10"/>
      <c r="D316" s="10"/>
      <c r="J316" s="23"/>
    </row>
    <row r="317" spans="2:10" ht="18" customHeight="1" x14ac:dyDescent="0.3">
      <c r="B317" s="10"/>
      <c r="C317" s="10"/>
      <c r="D317" s="10"/>
      <c r="J317" s="23"/>
    </row>
    <row r="318" spans="2:10" ht="18" customHeight="1" x14ac:dyDescent="0.3">
      <c r="B318" s="10"/>
      <c r="C318" s="10"/>
      <c r="D318" s="10"/>
      <c r="J318" s="23"/>
    </row>
    <row r="319" spans="2:10" ht="18" customHeight="1" x14ac:dyDescent="0.3">
      <c r="B319" s="10"/>
      <c r="C319" s="10"/>
      <c r="D319" s="10"/>
      <c r="J319" s="23"/>
    </row>
    <row r="320" spans="2:10" ht="18" customHeight="1" x14ac:dyDescent="0.3">
      <c r="B320" s="10"/>
      <c r="C320" s="10"/>
      <c r="D320" s="10"/>
      <c r="J320" s="23"/>
    </row>
    <row r="321" spans="2:10" ht="18" customHeight="1" x14ac:dyDescent="0.3">
      <c r="B321" s="10"/>
      <c r="C321" s="10"/>
      <c r="D321" s="10"/>
      <c r="J321" s="23"/>
    </row>
    <row r="322" spans="2:10" ht="18" customHeight="1" x14ac:dyDescent="0.3">
      <c r="B322" s="10"/>
      <c r="C322" s="10"/>
      <c r="D322" s="10"/>
      <c r="J322" s="23"/>
    </row>
    <row r="323" spans="2:10" ht="18" customHeight="1" x14ac:dyDescent="0.3">
      <c r="B323" s="10"/>
      <c r="C323" s="10"/>
      <c r="D323" s="10"/>
      <c r="J323" s="23"/>
    </row>
    <row r="324" spans="2:10" ht="18" customHeight="1" x14ac:dyDescent="0.3">
      <c r="B324" s="10"/>
      <c r="C324" s="10"/>
      <c r="D324" s="10"/>
      <c r="J324" s="23"/>
    </row>
    <row r="325" spans="2:10" ht="18" customHeight="1" x14ac:dyDescent="0.3">
      <c r="B325" s="10"/>
      <c r="C325" s="10"/>
      <c r="D325" s="10"/>
      <c r="J325" s="23"/>
    </row>
    <row r="326" spans="2:10" ht="18" customHeight="1" x14ac:dyDescent="0.3">
      <c r="B326" s="10"/>
      <c r="C326" s="10"/>
      <c r="D326" s="10"/>
      <c r="J326" s="23"/>
    </row>
    <row r="327" spans="2:10" ht="18" customHeight="1" x14ac:dyDescent="0.3">
      <c r="B327" s="10"/>
      <c r="C327" s="10"/>
      <c r="D327" s="10"/>
      <c r="J327" s="23"/>
    </row>
    <row r="328" spans="2:10" ht="18" customHeight="1" x14ac:dyDescent="0.3">
      <c r="B328" s="10"/>
      <c r="C328" s="10"/>
      <c r="D328" s="10"/>
      <c r="J328" s="23"/>
    </row>
    <row r="329" spans="2:10" ht="18" customHeight="1" x14ac:dyDescent="0.3">
      <c r="B329" s="10"/>
      <c r="C329" s="10"/>
      <c r="D329" s="10"/>
      <c r="J329" s="23"/>
    </row>
    <row r="330" spans="2:10" ht="18" customHeight="1" x14ac:dyDescent="0.3">
      <c r="B330" s="10"/>
      <c r="C330" s="10"/>
      <c r="D330" s="10"/>
      <c r="J330" s="23"/>
    </row>
    <row r="331" spans="2:10" ht="18" customHeight="1" x14ac:dyDescent="0.3">
      <c r="B331" s="10"/>
      <c r="C331" s="10"/>
      <c r="D331" s="10"/>
      <c r="J331" s="23"/>
    </row>
    <row r="332" spans="2:10" ht="18" customHeight="1" x14ac:dyDescent="0.3">
      <c r="B332" s="10"/>
      <c r="C332" s="10"/>
      <c r="D332" s="10"/>
      <c r="J332" s="23"/>
    </row>
    <row r="333" spans="2:10" ht="18" customHeight="1" x14ac:dyDescent="0.3">
      <c r="B333" s="10"/>
      <c r="C333" s="10"/>
      <c r="D333" s="10"/>
      <c r="J333" s="23"/>
    </row>
    <row r="334" spans="2:10" ht="18" customHeight="1" x14ac:dyDescent="0.3">
      <c r="B334" s="10"/>
      <c r="C334" s="10"/>
      <c r="D334" s="10"/>
      <c r="J334" s="23"/>
    </row>
    <row r="335" spans="2:10" ht="18" customHeight="1" x14ac:dyDescent="0.3">
      <c r="B335" s="10"/>
      <c r="C335" s="10"/>
      <c r="D335" s="10"/>
      <c r="J335" s="23"/>
    </row>
    <row r="336" spans="2:10" ht="18" customHeight="1" x14ac:dyDescent="0.3">
      <c r="B336" s="10"/>
      <c r="C336" s="10"/>
      <c r="D336" s="10"/>
      <c r="J336" s="23"/>
    </row>
    <row r="337" spans="2:10" ht="18" customHeight="1" x14ac:dyDescent="0.3">
      <c r="B337" s="10"/>
      <c r="C337" s="10"/>
      <c r="D337" s="10"/>
      <c r="J337" s="23"/>
    </row>
    <row r="338" spans="2:10" ht="18" customHeight="1" x14ac:dyDescent="0.3">
      <c r="B338" s="10"/>
      <c r="C338" s="10"/>
      <c r="D338" s="10"/>
      <c r="J338" s="23"/>
    </row>
    <row r="339" spans="2:10" ht="18" customHeight="1" x14ac:dyDescent="0.3">
      <c r="B339" s="10"/>
      <c r="C339" s="10"/>
      <c r="D339" s="10"/>
      <c r="J339" s="23"/>
    </row>
    <row r="340" spans="2:10" ht="18" customHeight="1" x14ac:dyDescent="0.3">
      <c r="B340" s="10"/>
      <c r="C340" s="10"/>
      <c r="D340" s="10"/>
      <c r="J340" s="23"/>
    </row>
    <row r="341" spans="2:10" ht="18" customHeight="1" x14ac:dyDescent="0.3">
      <c r="B341" s="10"/>
      <c r="C341" s="10"/>
      <c r="D341" s="10"/>
      <c r="J341" s="23"/>
    </row>
    <row r="342" spans="2:10" ht="18" customHeight="1" x14ac:dyDescent="0.3">
      <c r="B342" s="10"/>
      <c r="C342" s="10"/>
      <c r="D342" s="10"/>
      <c r="J342" s="23"/>
    </row>
    <row r="343" spans="2:10" ht="18" customHeight="1" x14ac:dyDescent="0.3">
      <c r="B343" s="10"/>
      <c r="C343" s="10"/>
      <c r="D343" s="10"/>
      <c r="J343" s="23"/>
    </row>
    <row r="344" spans="2:10" ht="18" customHeight="1" x14ac:dyDescent="0.3">
      <c r="B344" s="10"/>
      <c r="C344" s="10"/>
      <c r="D344" s="10"/>
      <c r="J344" s="23"/>
    </row>
    <row r="345" spans="2:10" ht="18" customHeight="1" x14ac:dyDescent="0.3">
      <c r="B345" s="10"/>
      <c r="C345" s="10"/>
      <c r="D345" s="10"/>
      <c r="J345" s="23"/>
    </row>
    <row r="346" spans="2:10" ht="18" customHeight="1" x14ac:dyDescent="0.3">
      <c r="B346" s="10"/>
      <c r="C346" s="10"/>
      <c r="D346" s="10"/>
      <c r="J346" s="23"/>
    </row>
    <row r="347" spans="2:10" ht="18" customHeight="1" x14ac:dyDescent="0.3">
      <c r="B347" s="10"/>
      <c r="C347" s="10"/>
      <c r="D347" s="10"/>
      <c r="J347" s="23"/>
    </row>
    <row r="348" spans="2:10" ht="18" customHeight="1" x14ac:dyDescent="0.3">
      <c r="B348" s="10"/>
      <c r="C348" s="10"/>
      <c r="D348" s="10"/>
      <c r="J348" s="23"/>
    </row>
    <row r="349" spans="2:10" ht="18" customHeight="1" x14ac:dyDescent="0.3">
      <c r="B349" s="10"/>
      <c r="C349" s="10"/>
      <c r="D349" s="10"/>
      <c r="J349" s="23"/>
    </row>
    <row r="350" spans="2:10" ht="18" customHeight="1" x14ac:dyDescent="0.3">
      <c r="B350" s="10"/>
      <c r="C350" s="10"/>
      <c r="D350" s="10"/>
      <c r="J350" s="23"/>
    </row>
    <row r="351" spans="2:10" ht="18" customHeight="1" x14ac:dyDescent="0.3">
      <c r="B351" s="10"/>
      <c r="C351" s="10"/>
      <c r="D351" s="10"/>
      <c r="J351" s="23"/>
    </row>
    <row r="352" spans="2:10" ht="18" customHeight="1" x14ac:dyDescent="0.3">
      <c r="B352" s="10"/>
      <c r="C352" s="10"/>
      <c r="D352" s="10"/>
      <c r="J352" s="23"/>
    </row>
    <row r="353" spans="2:10" ht="18" customHeight="1" x14ac:dyDescent="0.3">
      <c r="B353" s="10"/>
      <c r="C353" s="10"/>
      <c r="D353" s="10"/>
      <c r="J353" s="23"/>
    </row>
    <row r="354" spans="2:10" ht="18" customHeight="1" x14ac:dyDescent="0.3">
      <c r="B354" s="10"/>
      <c r="C354" s="10"/>
      <c r="D354" s="10"/>
      <c r="J354" s="23"/>
    </row>
    <row r="355" spans="2:10" ht="18" customHeight="1" x14ac:dyDescent="0.3">
      <c r="B355" s="10"/>
      <c r="C355" s="10"/>
      <c r="D355" s="10"/>
      <c r="J355" s="23"/>
    </row>
    <row r="356" spans="2:10" ht="18" customHeight="1" x14ac:dyDescent="0.3">
      <c r="B356" s="10"/>
      <c r="C356" s="10"/>
      <c r="D356" s="10"/>
      <c r="J356" s="23"/>
    </row>
    <row r="357" spans="2:10" ht="18" customHeight="1" x14ac:dyDescent="0.3">
      <c r="B357" s="10"/>
      <c r="C357" s="10"/>
      <c r="D357" s="10"/>
      <c r="J357" s="23"/>
    </row>
    <row r="358" spans="2:10" ht="18" customHeight="1" x14ac:dyDescent="0.3">
      <c r="B358" s="10"/>
      <c r="C358" s="10"/>
      <c r="D358" s="10"/>
      <c r="J358" s="23"/>
    </row>
    <row r="359" spans="2:10" ht="18" customHeight="1" x14ac:dyDescent="0.3">
      <c r="B359" s="10"/>
      <c r="C359" s="10"/>
      <c r="D359" s="10"/>
      <c r="J359" s="23"/>
    </row>
    <row r="360" spans="2:10" ht="18" customHeight="1" x14ac:dyDescent="0.3">
      <c r="B360" s="10"/>
      <c r="C360" s="10"/>
      <c r="D360" s="10"/>
      <c r="J360" s="23"/>
    </row>
    <row r="361" spans="2:10" ht="18" customHeight="1" x14ac:dyDescent="0.3">
      <c r="B361" s="10"/>
      <c r="C361" s="10"/>
      <c r="D361" s="10"/>
      <c r="J361" s="23"/>
    </row>
    <row r="362" spans="2:10" ht="18" customHeight="1" x14ac:dyDescent="0.3">
      <c r="B362" s="10"/>
      <c r="C362" s="10"/>
      <c r="D362" s="10"/>
      <c r="J362" s="23"/>
    </row>
    <row r="363" spans="2:10" ht="18" customHeight="1" x14ac:dyDescent="0.3">
      <c r="B363" s="10"/>
      <c r="C363" s="10"/>
      <c r="D363" s="10"/>
      <c r="J363" s="23"/>
    </row>
    <row r="364" spans="2:10" ht="18" customHeight="1" x14ac:dyDescent="0.3">
      <c r="B364" s="10"/>
      <c r="C364" s="10"/>
      <c r="D364" s="10"/>
      <c r="J364" s="23"/>
    </row>
    <row r="365" spans="2:10" ht="18" customHeight="1" x14ac:dyDescent="0.3">
      <c r="B365" s="10"/>
      <c r="C365" s="10"/>
      <c r="D365" s="10"/>
      <c r="J365" s="23"/>
    </row>
    <row r="366" spans="2:10" ht="18" customHeight="1" x14ac:dyDescent="0.3">
      <c r="B366" s="10"/>
      <c r="C366" s="10"/>
      <c r="D366" s="10"/>
      <c r="J366" s="23"/>
    </row>
    <row r="367" spans="2:10" ht="18" customHeight="1" x14ac:dyDescent="0.3">
      <c r="B367" s="10"/>
      <c r="C367" s="10"/>
      <c r="D367" s="10"/>
      <c r="J367" s="23"/>
    </row>
    <row r="368" spans="2:10" ht="18" customHeight="1" x14ac:dyDescent="0.3">
      <c r="B368" s="10"/>
      <c r="C368" s="10"/>
      <c r="D368" s="10"/>
      <c r="J368" s="23"/>
    </row>
    <row r="369" spans="2:10" ht="18" customHeight="1" x14ac:dyDescent="0.3">
      <c r="B369" s="10"/>
      <c r="C369" s="10"/>
      <c r="D369" s="10"/>
      <c r="J369" s="23"/>
    </row>
    <row r="370" spans="2:10" ht="18" customHeight="1" x14ac:dyDescent="0.3">
      <c r="B370" s="10"/>
      <c r="C370" s="10"/>
      <c r="D370" s="10"/>
      <c r="J370" s="23"/>
    </row>
    <row r="371" spans="2:10" ht="18" customHeight="1" x14ac:dyDescent="0.3">
      <c r="B371" s="10"/>
      <c r="C371" s="10"/>
      <c r="D371" s="10"/>
      <c r="J371" s="23"/>
    </row>
    <row r="372" spans="2:10" ht="18" customHeight="1" x14ac:dyDescent="0.3">
      <c r="B372" s="10"/>
      <c r="C372" s="10"/>
      <c r="D372" s="10"/>
      <c r="J372" s="23"/>
    </row>
    <row r="373" spans="2:10" ht="18" customHeight="1" x14ac:dyDescent="0.3">
      <c r="B373" s="10"/>
      <c r="C373" s="10"/>
      <c r="D373" s="10"/>
      <c r="J373" s="23"/>
    </row>
    <row r="374" spans="2:10" ht="18" customHeight="1" x14ac:dyDescent="0.3">
      <c r="B374" s="10"/>
      <c r="C374" s="10"/>
      <c r="D374" s="10"/>
      <c r="J374" s="23"/>
    </row>
    <row r="375" spans="2:10" ht="18" customHeight="1" x14ac:dyDescent="0.3">
      <c r="B375" s="10"/>
      <c r="C375" s="10"/>
      <c r="D375" s="10"/>
      <c r="J375" s="23"/>
    </row>
    <row r="376" spans="2:10" ht="18" customHeight="1" x14ac:dyDescent="0.3">
      <c r="B376" s="10"/>
      <c r="C376" s="10"/>
      <c r="D376" s="10"/>
      <c r="J376" s="23"/>
    </row>
    <row r="377" spans="2:10" ht="18" customHeight="1" x14ac:dyDescent="0.3">
      <c r="B377" s="10"/>
      <c r="C377" s="10"/>
      <c r="D377" s="10"/>
      <c r="J377" s="23"/>
    </row>
    <row r="378" spans="2:10" ht="18" customHeight="1" x14ac:dyDescent="0.3">
      <c r="B378" s="10"/>
      <c r="C378" s="10"/>
      <c r="D378" s="10"/>
      <c r="J378" s="23"/>
    </row>
    <row r="379" spans="2:10" ht="18" customHeight="1" x14ac:dyDescent="0.3">
      <c r="B379" s="10"/>
      <c r="C379" s="10"/>
      <c r="D379" s="10"/>
      <c r="J379" s="23"/>
    </row>
    <row r="380" spans="2:10" ht="18" customHeight="1" x14ac:dyDescent="0.3">
      <c r="B380" s="10"/>
      <c r="C380" s="10"/>
      <c r="D380" s="10"/>
      <c r="J380" s="23"/>
    </row>
    <row r="381" spans="2:10" ht="18" customHeight="1" x14ac:dyDescent="0.3">
      <c r="B381" s="10"/>
      <c r="C381" s="10"/>
      <c r="D381" s="10"/>
      <c r="J381" s="23"/>
    </row>
    <row r="386" spans="2:17" s="13" customFormat="1" x14ac:dyDescent="0.2">
      <c r="B386"/>
      <c r="C386"/>
      <c r="D386"/>
      <c r="E386"/>
      <c r="F386"/>
      <c r="G386"/>
      <c r="H386"/>
      <c r="I386"/>
      <c r="J386"/>
      <c r="K386"/>
      <c r="L386"/>
      <c r="M386"/>
      <c r="N386"/>
      <c r="O386"/>
      <c r="P386"/>
      <c r="Q386"/>
    </row>
    <row r="387" spans="2:17" s="13" customFormat="1" x14ac:dyDescent="0.2">
      <c r="B387"/>
      <c r="C387"/>
      <c r="D387"/>
      <c r="E387"/>
      <c r="F387"/>
      <c r="G387"/>
      <c r="H387"/>
      <c r="I387"/>
      <c r="J387"/>
      <c r="K387"/>
      <c r="L387"/>
      <c r="M387"/>
      <c r="N387"/>
      <c r="O387"/>
      <c r="P387"/>
      <c r="Q387"/>
    </row>
  </sheetData>
  <sheetProtection selectLockedCells="1"/>
  <mergeCells count="51">
    <mergeCell ref="B65:B66"/>
    <mergeCell ref="C65:D65"/>
    <mergeCell ref="E65:E66"/>
    <mergeCell ref="F65:F66"/>
    <mergeCell ref="B2:C2"/>
    <mergeCell ref="E2:H2"/>
    <mergeCell ref="B4:C4"/>
    <mergeCell ref="B6:C6"/>
    <mergeCell ref="D6:E6"/>
    <mergeCell ref="B78:B79"/>
    <mergeCell ref="C78:D78"/>
    <mergeCell ref="E78:E79"/>
    <mergeCell ref="F78:F79"/>
    <mergeCell ref="B91:B92"/>
    <mergeCell ref="C91:D91"/>
    <mergeCell ref="E91:E92"/>
    <mergeCell ref="F91:F92"/>
    <mergeCell ref="F127:F133"/>
    <mergeCell ref="B93:F93"/>
    <mergeCell ref="B101:B102"/>
    <mergeCell ref="C101:D101"/>
    <mergeCell ref="E101:E102"/>
    <mergeCell ref="F101:F102"/>
    <mergeCell ref="B103:F103"/>
    <mergeCell ref="D113:E113"/>
    <mergeCell ref="D114:E114"/>
    <mergeCell ref="D115:F115"/>
    <mergeCell ref="B124:G124"/>
    <mergeCell ref="B125:G125"/>
    <mergeCell ref="E211:L211"/>
    <mergeCell ref="I142:N142"/>
    <mergeCell ref="I147:N147"/>
    <mergeCell ref="I150:N150"/>
    <mergeCell ref="I152:N152"/>
    <mergeCell ref="B160:G160"/>
    <mergeCell ref="B161:G161"/>
    <mergeCell ref="E203:F203"/>
    <mergeCell ref="E204:F204"/>
    <mergeCell ref="B207:C207"/>
    <mergeCell ref="B209:C209"/>
    <mergeCell ref="E210:L210"/>
    <mergeCell ref="E218:L218"/>
    <mergeCell ref="E219:L219"/>
    <mergeCell ref="E220:L220"/>
    <mergeCell ref="E221:L221"/>
    <mergeCell ref="E212:L212"/>
    <mergeCell ref="E213:L213"/>
    <mergeCell ref="E214:L214"/>
    <mergeCell ref="F215:L215"/>
    <mergeCell ref="E216:L216"/>
    <mergeCell ref="E217:L217"/>
  </mergeCells>
  <phoneticPr fontId="38" type="noConversion"/>
  <pageMargins left="0.25" right="0.25" top="0.75" bottom="0.75" header="0.3" footer="0.3"/>
  <pageSetup scale="4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rgb="FFFFFF00"/>
    <pageSetUpPr fitToPage="1"/>
  </sheetPr>
  <dimension ref="A1:P43"/>
  <sheetViews>
    <sheetView showGridLines="0" topLeftCell="A13" zoomScaleNormal="100" zoomScalePageLayoutView="90" workbookViewId="0">
      <selection activeCell="L45" sqref="L45"/>
    </sheetView>
  </sheetViews>
  <sheetFormatPr baseColWidth="10" defaultColWidth="8.83203125" defaultRowHeight="18" customHeight="1" x14ac:dyDescent="0.2"/>
  <cols>
    <col min="1" max="1" width="3.33203125" style="11" customWidth="1"/>
    <col min="2" max="2" width="31.6640625" style="11" customWidth="1"/>
    <col min="3" max="3" width="14.33203125" style="11" customWidth="1"/>
    <col min="4" max="4" width="1.6640625" style="11" customWidth="1"/>
    <col min="5" max="5" width="31.6640625" style="11" customWidth="1"/>
    <col min="6" max="6" width="14.5" style="11" customWidth="1"/>
    <col min="7" max="7" width="1.6640625" style="11" customWidth="1"/>
    <col min="8" max="8" width="31.6640625" style="11" customWidth="1"/>
    <col min="9" max="9" width="14.1640625" style="11" customWidth="1"/>
    <col min="10" max="10" width="1.6640625" style="11" customWidth="1"/>
    <col min="11" max="11" width="31.6640625" style="11" customWidth="1"/>
    <col min="12" max="12" width="14.1640625" style="11" customWidth="1"/>
    <col min="13" max="13" width="2" style="11" customWidth="1"/>
    <col min="14" max="14" width="31.6640625" style="11" customWidth="1"/>
    <col min="15" max="15" width="14.83203125" style="11" customWidth="1"/>
    <col min="16" max="16" width="1.6640625" style="11" customWidth="1"/>
    <col min="17" max="16384" width="8.83203125" style="11"/>
  </cols>
  <sheetData>
    <row r="1" spans="2:15" ht="10" customHeight="1" thickBot="1" x14ac:dyDescent="0.25"/>
    <row r="2" spans="2:15" ht="27" customHeight="1" thickBot="1" x14ac:dyDescent="0.35">
      <c r="B2" s="609" t="s">
        <v>331</v>
      </c>
      <c r="C2" s="705"/>
      <c r="D2" s="706"/>
      <c r="F2" s="18"/>
      <c r="G2" s="37"/>
      <c r="H2" s="18"/>
      <c r="I2" s="18"/>
      <c r="J2" s="37"/>
      <c r="K2" s="18"/>
      <c r="L2" s="18"/>
      <c r="M2" s="37"/>
      <c r="N2" s="18"/>
      <c r="O2" s="18"/>
    </row>
    <row r="3" spans="2:15" ht="18" customHeight="1" x14ac:dyDescent="0.3">
      <c r="B3" s="10"/>
      <c r="C3" s="321"/>
      <c r="D3" s="321"/>
      <c r="F3" s="18"/>
      <c r="G3" s="37"/>
      <c r="H3" s="18"/>
      <c r="I3" s="18"/>
      <c r="J3" s="37"/>
      <c r="K3" s="18"/>
      <c r="L3" s="18"/>
      <c r="M3" s="37"/>
      <c r="N3" s="18"/>
      <c r="O3" s="18"/>
    </row>
    <row r="4" spans="2:15" ht="18" customHeight="1" x14ac:dyDescent="0.25">
      <c r="B4" s="39" t="s">
        <v>107</v>
      </c>
      <c r="C4" s="58" t="s">
        <v>350</v>
      </c>
      <c r="D4" s="319"/>
      <c r="F4" s="18"/>
      <c r="G4" s="37"/>
      <c r="H4" s="18"/>
      <c r="I4" s="18"/>
      <c r="J4" s="37"/>
      <c r="K4" s="18"/>
      <c r="L4" s="18"/>
      <c r="M4" s="37"/>
      <c r="N4" s="18"/>
      <c r="O4" s="18"/>
    </row>
    <row r="5" spans="2:15" ht="18" customHeight="1" x14ac:dyDescent="0.25">
      <c r="B5" s="39" t="s">
        <v>106</v>
      </c>
      <c r="C5" s="58" t="s">
        <v>351</v>
      </c>
      <c r="D5" s="319"/>
      <c r="F5" s="18"/>
      <c r="G5" s="37"/>
      <c r="H5" s="18"/>
      <c r="I5" s="18"/>
      <c r="J5" s="37"/>
      <c r="K5" s="18"/>
      <c r="L5" s="18"/>
      <c r="M5" s="37"/>
      <c r="N5" s="18"/>
      <c r="O5" s="18"/>
    </row>
    <row r="6" spans="2:15" ht="18" customHeight="1" x14ac:dyDescent="0.25">
      <c r="B6" s="39" t="s">
        <v>108</v>
      </c>
      <c r="C6" s="58" t="s">
        <v>347</v>
      </c>
      <c r="D6" s="319"/>
      <c r="F6" s="18"/>
      <c r="G6" s="37"/>
      <c r="H6" s="18"/>
      <c r="I6" s="18"/>
      <c r="J6" s="37"/>
      <c r="K6" s="18"/>
      <c r="L6" s="18"/>
      <c r="M6" s="37"/>
      <c r="N6" s="18"/>
      <c r="O6" s="18"/>
    </row>
    <row r="7" spans="2:15" ht="18" customHeight="1" x14ac:dyDescent="0.25">
      <c r="B7" s="56" t="s">
        <v>19</v>
      </c>
      <c r="C7" s="58" t="s">
        <v>349</v>
      </c>
      <c r="D7" s="319"/>
      <c r="F7" s="18"/>
      <c r="G7" s="37"/>
      <c r="H7" s="18"/>
      <c r="I7" s="18"/>
      <c r="J7" s="37"/>
      <c r="K7" s="18"/>
      <c r="L7" s="18"/>
      <c r="M7" s="37"/>
      <c r="N7" s="18"/>
      <c r="O7" s="18"/>
    </row>
    <row r="8" spans="2:15" ht="18" customHeight="1" x14ac:dyDescent="0.25">
      <c r="B8" s="57" t="s">
        <v>109</v>
      </c>
      <c r="C8" s="58" t="s">
        <v>129</v>
      </c>
      <c r="D8" s="319"/>
      <c r="F8" s="18"/>
      <c r="G8" s="37"/>
      <c r="H8" s="18"/>
      <c r="I8" s="18"/>
      <c r="J8" s="37"/>
      <c r="K8" s="18"/>
      <c r="L8" s="18"/>
      <c r="M8" s="37"/>
      <c r="N8" s="18"/>
      <c r="O8" s="18"/>
    </row>
    <row r="9" spans="2:15" ht="18" customHeight="1" x14ac:dyDescent="0.25">
      <c r="B9" s="57" t="s">
        <v>174</v>
      </c>
      <c r="C9" s="58" t="s">
        <v>354</v>
      </c>
      <c r="D9" s="319"/>
      <c r="F9" s="18"/>
      <c r="G9" s="37"/>
      <c r="H9" s="18"/>
      <c r="I9" s="18"/>
      <c r="J9" s="37"/>
      <c r="K9" s="18"/>
      <c r="L9" s="18"/>
      <c r="M9" s="37"/>
      <c r="N9" s="18"/>
      <c r="O9" s="18"/>
    </row>
    <row r="10" spans="2:15" ht="18" customHeight="1" x14ac:dyDescent="0.2">
      <c r="B10" s="57" t="s">
        <v>168</v>
      </c>
      <c r="C10" s="21" t="s">
        <v>355</v>
      </c>
      <c r="D10" s="74"/>
      <c r="E10" s="76"/>
      <c r="F10" s="76"/>
      <c r="G10" s="74"/>
      <c r="H10" s="76"/>
      <c r="I10" s="76"/>
      <c r="J10" s="37"/>
      <c r="K10" s="18"/>
      <c r="L10" s="18"/>
      <c r="M10" s="37"/>
      <c r="N10" s="18"/>
      <c r="O10" s="18"/>
    </row>
    <row r="11" spans="2:15" ht="18" customHeight="1" x14ac:dyDescent="0.25">
      <c r="B11" s="57" t="s">
        <v>105</v>
      </c>
      <c r="C11" s="58" t="s">
        <v>358</v>
      </c>
      <c r="D11" s="319"/>
      <c r="F11" s="18"/>
      <c r="G11" s="37"/>
      <c r="H11" s="18"/>
      <c r="I11" s="18"/>
      <c r="J11" s="37"/>
      <c r="K11" s="18"/>
      <c r="L11" s="18"/>
      <c r="M11" s="37"/>
      <c r="N11" s="18"/>
      <c r="O11" s="18"/>
    </row>
    <row r="12" spans="2:15" ht="18" customHeight="1" x14ac:dyDescent="0.25">
      <c r="B12" s="57" t="s">
        <v>175</v>
      </c>
      <c r="C12" s="58" t="s">
        <v>176</v>
      </c>
      <c r="D12" s="319"/>
      <c r="F12" s="18"/>
      <c r="G12" s="37"/>
      <c r="H12" s="18"/>
      <c r="I12" s="18"/>
      <c r="J12" s="37"/>
      <c r="K12" s="18"/>
      <c r="L12" s="18"/>
      <c r="M12" s="37"/>
      <c r="N12" s="18"/>
      <c r="O12" s="18"/>
    </row>
    <row r="13" spans="2:15" ht="18" customHeight="1" x14ac:dyDescent="0.25">
      <c r="B13" s="57" t="s">
        <v>361</v>
      </c>
      <c r="C13" s="348" t="s">
        <v>360</v>
      </c>
      <c r="D13" s="319"/>
      <c r="F13" s="18"/>
      <c r="G13" s="37"/>
      <c r="H13" s="18"/>
      <c r="I13" s="18"/>
      <c r="J13" s="37"/>
      <c r="K13" s="18"/>
      <c r="L13" s="18"/>
      <c r="M13" s="37"/>
      <c r="N13" s="18"/>
      <c r="O13" s="18"/>
    </row>
    <row r="14" spans="2:15" ht="18" customHeight="1" x14ac:dyDescent="0.25">
      <c r="B14" s="57" t="s">
        <v>111</v>
      </c>
      <c r="C14" s="58" t="s">
        <v>130</v>
      </c>
      <c r="D14" s="319"/>
      <c r="F14" s="18"/>
      <c r="G14" s="37"/>
      <c r="H14" s="18"/>
      <c r="I14" s="18"/>
      <c r="J14" s="37"/>
      <c r="K14" s="18"/>
      <c r="L14" s="18"/>
      <c r="M14" s="37"/>
      <c r="N14" s="18"/>
      <c r="O14" s="18"/>
    </row>
    <row r="15" spans="2:15" ht="18" customHeight="1" thickBot="1" x14ac:dyDescent="0.3">
      <c r="B15" s="318"/>
      <c r="C15" s="318"/>
      <c r="D15" s="318"/>
      <c r="E15" s="318"/>
    </row>
    <row r="16" spans="2:15" s="3" customFormat="1" ht="18" customHeight="1" thickBot="1" x14ac:dyDescent="0.3">
      <c r="B16" s="719" t="str">
        <f>"Crop 1: "&amp;'Cut Flower 1'!$F$9</f>
        <v>Crop 1: write crop name here</v>
      </c>
      <c r="C16" s="720"/>
      <c r="D16" s="360"/>
      <c r="E16" s="721" t="str">
        <f>"Crop 2: "&amp;'Cut Flower 2'!B2</f>
        <v>Crop 2: write name here</v>
      </c>
      <c r="F16" s="722"/>
      <c r="G16" s="360"/>
      <c r="H16" s="725" t="str">
        <f>"Crop 3: "&amp;'Cut Flower 3'!B2</f>
        <v>Crop 3: write name here</v>
      </c>
      <c r="I16" s="726"/>
      <c r="J16" s="360"/>
      <c r="K16" s="723" t="str">
        <f>"Crop 4: "&amp;'Cut Flower 4'!B2</f>
        <v>Crop 4: write name here</v>
      </c>
      <c r="L16" s="724"/>
      <c r="M16" s="360"/>
      <c r="N16" s="707" t="str">
        <f>"Crop 5: "&amp;'Cut Flower 5'!B2</f>
        <v>Crop 5: write name here</v>
      </c>
      <c r="O16" s="708"/>
    </row>
    <row r="17" spans="1:16" ht="18" customHeight="1" x14ac:dyDescent="0.2">
      <c r="B17" s="361" t="s">
        <v>107</v>
      </c>
      <c r="C17" s="557">
        <f>'Cut Flower 1 Assessment'!C5</f>
        <v>0</v>
      </c>
      <c r="D17" s="362"/>
      <c r="E17" s="361" t="s">
        <v>107</v>
      </c>
      <c r="F17" s="562">
        <f>'Cut Flower 2'!C210</f>
        <v>0</v>
      </c>
      <c r="G17" s="362"/>
      <c r="H17" s="361" t="s">
        <v>107</v>
      </c>
      <c r="I17" s="562">
        <f>'Cut Flower 3'!C210</f>
        <v>0</v>
      </c>
      <c r="J17" s="362"/>
      <c r="K17" s="361" t="s">
        <v>107</v>
      </c>
      <c r="L17" s="557">
        <f>'Cut Flower 4'!C210</f>
        <v>0</v>
      </c>
      <c r="M17" s="363"/>
      <c r="N17" s="361" t="s">
        <v>107</v>
      </c>
      <c r="O17" s="557">
        <f>'Cut Flower 5'!C210</f>
        <v>0</v>
      </c>
    </row>
    <row r="18" spans="1:16" ht="18" customHeight="1" x14ac:dyDescent="0.2">
      <c r="B18" s="364" t="s">
        <v>106</v>
      </c>
      <c r="C18" s="558">
        <f>'Cut Flower 1 Assessment'!C6</f>
        <v>0</v>
      </c>
      <c r="D18" s="362"/>
      <c r="E18" s="364" t="s">
        <v>106</v>
      </c>
      <c r="F18" s="561">
        <f>'Cut Flower 2'!C211</f>
        <v>0</v>
      </c>
      <c r="G18" s="362"/>
      <c r="H18" s="364" t="s">
        <v>106</v>
      </c>
      <c r="I18" s="561">
        <f>'Cut Flower 3'!C211</f>
        <v>0</v>
      </c>
      <c r="J18" s="362"/>
      <c r="K18" s="364" t="s">
        <v>106</v>
      </c>
      <c r="L18" s="558">
        <f>'Cut Flower 4'!C211</f>
        <v>0</v>
      </c>
      <c r="M18" s="363"/>
      <c r="N18" s="364" t="s">
        <v>106</v>
      </c>
      <c r="O18" s="558">
        <f>'Cut Flower 5'!C211</f>
        <v>0</v>
      </c>
    </row>
    <row r="19" spans="1:16" ht="18" customHeight="1" x14ac:dyDescent="0.2">
      <c r="B19" s="364" t="s">
        <v>254</v>
      </c>
      <c r="C19" s="558">
        <f>'Cut Flower 1 Assessment'!C7</f>
        <v>0</v>
      </c>
      <c r="D19" s="366"/>
      <c r="E19" s="364" t="s">
        <v>254</v>
      </c>
      <c r="F19" s="561">
        <f>'Cut Flower 2'!C212</f>
        <v>0</v>
      </c>
      <c r="G19" s="366"/>
      <c r="H19" s="364" t="s">
        <v>254</v>
      </c>
      <c r="I19" s="561">
        <f>'Cut Flower 3'!C212</f>
        <v>0</v>
      </c>
      <c r="J19" s="366"/>
      <c r="K19" s="364" t="s">
        <v>254</v>
      </c>
      <c r="L19" s="558">
        <f>'Cut Flower 4'!C212</f>
        <v>0</v>
      </c>
      <c r="M19" s="363"/>
      <c r="N19" s="364" t="s">
        <v>254</v>
      </c>
      <c r="O19" s="558">
        <f>'Cut Flower 5'!C212</f>
        <v>0</v>
      </c>
    </row>
    <row r="20" spans="1:16" s="350" customFormat="1" ht="18" customHeight="1" thickBot="1" x14ac:dyDescent="0.25">
      <c r="A20" s="349"/>
      <c r="B20" s="367" t="s">
        <v>19</v>
      </c>
      <c r="C20" s="565">
        <f>'Cut Flower 1 Assessment'!C8</f>
        <v>0</v>
      </c>
      <c r="D20" s="368"/>
      <c r="E20" s="367" t="s">
        <v>19</v>
      </c>
      <c r="F20" s="567">
        <f>'Cut Flower 2'!C213</f>
        <v>0</v>
      </c>
      <c r="G20" s="368"/>
      <c r="H20" s="367" t="s">
        <v>19</v>
      </c>
      <c r="I20" s="567">
        <f>'Cut Flower 3'!C213</f>
        <v>0</v>
      </c>
      <c r="J20" s="368"/>
      <c r="K20" s="367" t="s">
        <v>19</v>
      </c>
      <c r="L20" s="568">
        <f>'Cut Flower 4'!C213</f>
        <v>0</v>
      </c>
      <c r="M20" s="369"/>
      <c r="N20" s="367" t="s">
        <v>19</v>
      </c>
      <c r="O20" s="568">
        <f>'Cut Flower 5'!C213</f>
        <v>0</v>
      </c>
      <c r="P20" s="349"/>
    </row>
    <row r="21" spans="1:16" s="40" customFormat="1" ht="18" customHeight="1" x14ac:dyDescent="0.2">
      <c r="B21" s="370" t="s">
        <v>109</v>
      </c>
      <c r="C21" s="557">
        <f>'Cut Flower 1 Assessment'!C9</f>
        <v>0</v>
      </c>
      <c r="D21" s="366"/>
      <c r="E21" s="375" t="s">
        <v>109</v>
      </c>
      <c r="F21" s="561">
        <f>'Cut Flower 2'!C214</f>
        <v>0</v>
      </c>
      <c r="G21" s="366"/>
      <c r="H21" s="375" t="s">
        <v>109</v>
      </c>
      <c r="I21" s="561">
        <f>'Cut Flower 3'!C214</f>
        <v>0</v>
      </c>
      <c r="J21" s="366"/>
      <c r="K21" s="375" t="s">
        <v>109</v>
      </c>
      <c r="L21" s="558">
        <f>'Cut Flower 4'!C214</f>
        <v>0</v>
      </c>
      <c r="M21" s="362"/>
      <c r="N21" s="375" t="s">
        <v>109</v>
      </c>
      <c r="O21" s="558">
        <f>'Cut Flower 5'!C214</f>
        <v>0</v>
      </c>
    </row>
    <row r="22" spans="1:16" ht="18" customHeight="1" x14ac:dyDescent="0.2">
      <c r="B22" s="364" t="s">
        <v>95</v>
      </c>
      <c r="C22" s="365" t="str">
        <f>'Cut Flower 1 Assessment'!C10</f>
        <v>stem, bouquet, lbs, bucket, jar</v>
      </c>
      <c r="D22" s="366"/>
      <c r="E22" s="364" t="s">
        <v>95</v>
      </c>
      <c r="F22" s="380" t="str">
        <f>'Cut Flower 2'!C215</f>
        <v>stem, bouquet, lbs, bucket, jar</v>
      </c>
      <c r="G22" s="366"/>
      <c r="H22" s="364" t="s">
        <v>95</v>
      </c>
      <c r="I22" s="380" t="str">
        <f>'Cut Flower 3'!C215</f>
        <v>stem, bouquet, lbs, bucket, jar</v>
      </c>
      <c r="J22" s="366"/>
      <c r="K22" s="364" t="s">
        <v>95</v>
      </c>
      <c r="L22" s="365" t="str">
        <f>'Cut Flower 4'!C215</f>
        <v>stem, bouquet, lbs, bucket, jar</v>
      </c>
      <c r="M22" s="363"/>
      <c r="N22" s="364" t="s">
        <v>95</v>
      </c>
      <c r="O22" s="365" t="str">
        <f>'Cut Flower 5'!C215</f>
        <v>stem, bouquet, lbs, bucket, jar</v>
      </c>
    </row>
    <row r="23" spans="1:16" s="40" customFormat="1" ht="18" customHeight="1" x14ac:dyDescent="0.2">
      <c r="B23" s="364" t="s">
        <v>174</v>
      </c>
      <c r="C23" s="558">
        <f>'Cut Flower 1 Assessment'!C11</f>
        <v>0</v>
      </c>
      <c r="D23" s="362"/>
      <c r="E23" s="364" t="s">
        <v>174</v>
      </c>
      <c r="F23" s="561">
        <f>'Cut Flower 2'!C216</f>
        <v>0</v>
      </c>
      <c r="G23" s="362"/>
      <c r="H23" s="364" t="s">
        <v>174</v>
      </c>
      <c r="I23" s="561">
        <f>'Cut Flower 3'!C216</f>
        <v>0</v>
      </c>
      <c r="J23" s="362"/>
      <c r="K23" s="364" t="s">
        <v>174</v>
      </c>
      <c r="L23" s="558">
        <f>'Cut Flower 4'!C216</f>
        <v>0</v>
      </c>
      <c r="M23" s="362"/>
      <c r="N23" s="364" t="s">
        <v>174</v>
      </c>
      <c r="O23" s="558">
        <f>'Cut Flower 5'!C216</f>
        <v>0</v>
      </c>
    </row>
    <row r="24" spans="1:16" s="350" customFormat="1" ht="18" customHeight="1" x14ac:dyDescent="0.2">
      <c r="A24" s="349"/>
      <c r="B24" s="371" t="s">
        <v>168</v>
      </c>
      <c r="C24" s="566">
        <f>'Cut Flower 1 Assessment'!C12</f>
        <v>0</v>
      </c>
      <c r="D24" s="369"/>
      <c r="E24" s="371" t="s">
        <v>168</v>
      </c>
      <c r="F24" s="570">
        <f>'Cut Flower 2'!C217</f>
        <v>0</v>
      </c>
      <c r="G24" s="369"/>
      <c r="H24" s="371" t="s">
        <v>168</v>
      </c>
      <c r="I24" s="570">
        <f>'Cut Flower 3'!C217</f>
        <v>0</v>
      </c>
      <c r="J24" s="369"/>
      <c r="K24" s="371" t="s">
        <v>168</v>
      </c>
      <c r="L24" s="569">
        <f>'Cut Flower 4'!C217</f>
        <v>0</v>
      </c>
      <c r="M24" s="369"/>
      <c r="N24" s="371" t="s">
        <v>168</v>
      </c>
      <c r="O24" s="569">
        <f>'Cut Flower 5'!C217</f>
        <v>0</v>
      </c>
      <c r="P24" s="349"/>
    </row>
    <row r="25" spans="1:16" s="40" customFormat="1" ht="18" customHeight="1" thickBot="1" x14ac:dyDescent="0.25">
      <c r="B25" s="372" t="s">
        <v>105</v>
      </c>
      <c r="C25" s="559">
        <f>'Cut Flower 1 Assessment'!C13</f>
        <v>0</v>
      </c>
      <c r="D25" s="366"/>
      <c r="E25" s="375" t="s">
        <v>105</v>
      </c>
      <c r="F25" s="561">
        <f>'Cut Flower 2'!C218</f>
        <v>0</v>
      </c>
      <c r="G25" s="366"/>
      <c r="H25" s="375" t="s">
        <v>105</v>
      </c>
      <c r="I25" s="561">
        <f>'Cut Flower 3'!C218</f>
        <v>0</v>
      </c>
      <c r="J25" s="366"/>
      <c r="K25" s="375" t="s">
        <v>105</v>
      </c>
      <c r="L25" s="558">
        <f>'Cut Flower 4'!C218</f>
        <v>0</v>
      </c>
      <c r="M25" s="362"/>
      <c r="N25" s="375" t="s">
        <v>105</v>
      </c>
      <c r="O25" s="558">
        <f>'Cut Flower 5'!C218</f>
        <v>0</v>
      </c>
    </row>
    <row r="26" spans="1:16" s="77" customFormat="1" ht="18" customHeight="1" thickBot="1" x14ac:dyDescent="0.25">
      <c r="B26" s="373" t="s">
        <v>345</v>
      </c>
      <c r="C26" s="560">
        <f>'Cut Flower 1 Assessment'!C14</f>
        <v>0</v>
      </c>
      <c r="D26" s="374"/>
      <c r="E26" s="373" t="s">
        <v>345</v>
      </c>
      <c r="F26" s="563">
        <f>'Cut Flower 2'!C219</f>
        <v>0</v>
      </c>
      <c r="G26" s="374"/>
      <c r="H26" s="373" t="s">
        <v>345</v>
      </c>
      <c r="I26" s="563">
        <f>'Cut Flower 3'!C219</f>
        <v>0</v>
      </c>
      <c r="J26" s="374"/>
      <c r="K26" s="373" t="s">
        <v>345</v>
      </c>
      <c r="L26" s="560">
        <f>'Cut Flower 4'!C219</f>
        <v>0</v>
      </c>
      <c r="M26" s="374"/>
      <c r="N26" s="373" t="s">
        <v>345</v>
      </c>
      <c r="O26" s="560">
        <f>'Cut Flower 5'!C219</f>
        <v>0</v>
      </c>
    </row>
    <row r="27" spans="1:16" s="77" customFormat="1" ht="18" customHeight="1" x14ac:dyDescent="0.2">
      <c r="B27" s="375" t="s">
        <v>169</v>
      </c>
      <c r="C27" s="558">
        <f>'Cut Flower 1 Assessment'!C15</f>
        <v>0</v>
      </c>
      <c r="D27" s="374"/>
      <c r="E27" s="375" t="s">
        <v>169</v>
      </c>
      <c r="F27" s="561">
        <f>'Cut Flower 2'!C220</f>
        <v>0</v>
      </c>
      <c r="G27" s="374"/>
      <c r="H27" s="375" t="s">
        <v>169</v>
      </c>
      <c r="I27" s="561">
        <f>'Cut Flower 3'!C220</f>
        <v>0</v>
      </c>
      <c r="J27" s="374"/>
      <c r="K27" s="375" t="s">
        <v>169</v>
      </c>
      <c r="L27" s="558">
        <f>'Cut Flower 4'!C220</f>
        <v>0</v>
      </c>
      <c r="M27" s="374"/>
      <c r="N27" s="375" t="s">
        <v>169</v>
      </c>
      <c r="O27" s="558">
        <f>'Cut Flower 5'!C220</f>
        <v>0</v>
      </c>
    </row>
    <row r="28" spans="1:16" s="12" customFormat="1" ht="18" customHeight="1" thickBot="1" x14ac:dyDescent="0.25">
      <c r="B28" s="372" t="s">
        <v>111</v>
      </c>
      <c r="C28" s="559">
        <f>'Cut Flower 1 Assessment'!C16</f>
        <v>0</v>
      </c>
      <c r="D28" s="366"/>
      <c r="E28" s="372" t="s">
        <v>111</v>
      </c>
      <c r="F28" s="564">
        <f>'Cut Flower 2'!C221</f>
        <v>0</v>
      </c>
      <c r="G28" s="366"/>
      <c r="H28" s="372" t="s">
        <v>111</v>
      </c>
      <c r="I28" s="564">
        <f>'Cut Flower 3'!C221</f>
        <v>0</v>
      </c>
      <c r="J28" s="366"/>
      <c r="K28" s="372" t="s">
        <v>111</v>
      </c>
      <c r="L28" s="559">
        <f>'Cut Flower 4'!C221</f>
        <v>0</v>
      </c>
      <c r="M28" s="366"/>
      <c r="N28" s="372" t="s">
        <v>111</v>
      </c>
      <c r="O28" s="559">
        <f>'Cut Flower 5'!C221</f>
        <v>0</v>
      </c>
    </row>
    <row r="29" spans="1:16" ht="18" customHeight="1" thickBot="1" x14ac:dyDescent="0.25">
      <c r="B29" s="363"/>
      <c r="C29" s="363"/>
      <c r="D29" s="363"/>
      <c r="E29" s="363"/>
      <c r="F29" s="363"/>
      <c r="G29" s="363"/>
      <c r="H29" s="363"/>
      <c r="I29" s="363"/>
      <c r="J29" s="363"/>
      <c r="K29" s="363"/>
      <c r="L29" s="363"/>
      <c r="M29" s="363"/>
      <c r="N29" s="363"/>
      <c r="O29" s="363"/>
    </row>
    <row r="30" spans="1:16" s="3" customFormat="1" ht="18" customHeight="1" thickBot="1" x14ac:dyDescent="0.3">
      <c r="B30" s="711" t="str">
        <f>"Crop 6: "&amp;'Cut Flower 6'!B2</f>
        <v>Crop 6: write name here</v>
      </c>
      <c r="C30" s="712"/>
      <c r="D30" s="360"/>
      <c r="E30" s="709" t="str">
        <f>"Crop 7: "&amp;'Cut Flower 7'!B2</f>
        <v>Crop 7: write name here</v>
      </c>
      <c r="F30" s="710"/>
      <c r="G30" s="360"/>
      <c r="H30" s="713" t="str">
        <f>"Crop 8: "&amp;'Cut Flower 8'!B2</f>
        <v>Crop 8: write name here</v>
      </c>
      <c r="I30" s="714"/>
      <c r="J30" s="360"/>
      <c r="K30" s="715" t="str">
        <f>"Crop 9: "&amp;'Cut Flower 9'!B2</f>
        <v>Crop 9: write name here</v>
      </c>
      <c r="L30" s="716"/>
      <c r="M30" s="360"/>
      <c r="N30" s="717" t="str">
        <f>"Crop 10: "&amp;'Cut Flower 10'!B2</f>
        <v>Crop 10: write name here</v>
      </c>
      <c r="O30" s="718"/>
    </row>
    <row r="31" spans="1:16" s="40" customFormat="1" ht="18" customHeight="1" x14ac:dyDescent="0.2">
      <c r="B31" s="361" t="s">
        <v>107</v>
      </c>
      <c r="C31" s="557">
        <f>'Cut Flower 6'!C210</f>
        <v>0</v>
      </c>
      <c r="D31" s="362"/>
      <c r="E31" s="361" t="s">
        <v>107</v>
      </c>
      <c r="F31" s="557">
        <f>'Cut Flower 7'!C210</f>
        <v>0</v>
      </c>
      <c r="G31" s="362"/>
      <c r="H31" s="361" t="s">
        <v>107</v>
      </c>
      <c r="I31" s="557">
        <f>'Cut Flower 8'!C210</f>
        <v>0</v>
      </c>
      <c r="J31" s="362"/>
      <c r="K31" s="361" t="s">
        <v>107</v>
      </c>
      <c r="L31" s="557">
        <f>'Cut Flower 9'!C210</f>
        <v>0</v>
      </c>
      <c r="M31" s="363"/>
      <c r="N31" s="361" t="s">
        <v>107</v>
      </c>
      <c r="O31" s="557">
        <f>'Cut Flower 10'!C210</f>
        <v>0</v>
      </c>
    </row>
    <row r="32" spans="1:16" s="40" customFormat="1" ht="18" customHeight="1" x14ac:dyDescent="0.2">
      <c r="B32" s="364" t="s">
        <v>106</v>
      </c>
      <c r="C32" s="558">
        <f>'Cut Flower 6'!C211</f>
        <v>0</v>
      </c>
      <c r="D32" s="362"/>
      <c r="E32" s="364" t="s">
        <v>106</v>
      </c>
      <c r="F32" s="558">
        <f>'Cut Flower 7'!C211</f>
        <v>0</v>
      </c>
      <c r="G32" s="362"/>
      <c r="H32" s="364" t="s">
        <v>106</v>
      </c>
      <c r="I32" s="558">
        <f>'Cut Flower 8'!C211</f>
        <v>0</v>
      </c>
      <c r="J32" s="362"/>
      <c r="K32" s="364" t="s">
        <v>106</v>
      </c>
      <c r="L32" s="558">
        <f>'Cut Flower 9'!C211</f>
        <v>0</v>
      </c>
      <c r="M32" s="363"/>
      <c r="N32" s="364" t="s">
        <v>106</v>
      </c>
      <c r="O32" s="558">
        <f>'Cut Flower 10'!C211</f>
        <v>0</v>
      </c>
    </row>
    <row r="33" spans="2:15" s="12" customFormat="1" ht="18" customHeight="1" x14ac:dyDescent="0.2">
      <c r="B33" s="364" t="s">
        <v>254</v>
      </c>
      <c r="C33" s="558">
        <f>'Cut Flower 6'!C212</f>
        <v>0</v>
      </c>
      <c r="D33" s="366"/>
      <c r="E33" s="364" t="s">
        <v>254</v>
      </c>
      <c r="F33" s="558">
        <f>'Cut Flower 7'!C212</f>
        <v>0</v>
      </c>
      <c r="G33" s="366"/>
      <c r="H33" s="364" t="s">
        <v>254</v>
      </c>
      <c r="I33" s="558">
        <f>'Cut Flower 8'!C212</f>
        <v>0</v>
      </c>
      <c r="J33" s="366"/>
      <c r="K33" s="364" t="s">
        <v>254</v>
      </c>
      <c r="L33" s="558">
        <f>'Cut Flower 9'!C212</f>
        <v>0</v>
      </c>
      <c r="M33" s="376"/>
      <c r="N33" s="364" t="s">
        <v>254</v>
      </c>
      <c r="O33" s="558">
        <f>'Cut Flower 10'!C212</f>
        <v>0</v>
      </c>
    </row>
    <row r="34" spans="2:15" s="48" customFormat="1" ht="18" customHeight="1" thickBot="1" x14ac:dyDescent="0.25">
      <c r="B34" s="377" t="s">
        <v>19</v>
      </c>
      <c r="C34" s="568">
        <f>'Cut Flower 6'!C213</f>
        <v>0</v>
      </c>
      <c r="D34" s="378"/>
      <c r="E34" s="377" t="s">
        <v>19</v>
      </c>
      <c r="F34" s="568">
        <f>'Cut Flower 7'!C213</f>
        <v>0</v>
      </c>
      <c r="G34" s="378"/>
      <c r="H34" s="377" t="s">
        <v>19</v>
      </c>
      <c r="I34" s="568">
        <f>'Cut Flower 8'!C213</f>
        <v>0</v>
      </c>
      <c r="J34" s="378"/>
      <c r="K34" s="377" t="s">
        <v>19</v>
      </c>
      <c r="L34" s="568">
        <f>'Cut Flower 9'!C213</f>
        <v>0</v>
      </c>
      <c r="M34" s="376"/>
      <c r="N34" s="377" t="s">
        <v>19</v>
      </c>
      <c r="O34" s="568">
        <f>'Cut Flower 10'!C213</f>
        <v>0</v>
      </c>
    </row>
    <row r="35" spans="2:15" s="12" customFormat="1" ht="18" customHeight="1" x14ac:dyDescent="0.2">
      <c r="B35" s="375" t="s">
        <v>109</v>
      </c>
      <c r="C35" s="558">
        <f>'Cut Flower 6'!C214</f>
        <v>0</v>
      </c>
      <c r="D35" s="366"/>
      <c r="E35" s="375" t="s">
        <v>109</v>
      </c>
      <c r="F35" s="558">
        <f>'Cut Flower 7'!C214</f>
        <v>0</v>
      </c>
      <c r="G35" s="366"/>
      <c r="H35" s="375" t="s">
        <v>109</v>
      </c>
      <c r="I35" s="558">
        <f>'Cut Flower 8'!C214</f>
        <v>0</v>
      </c>
      <c r="J35" s="366"/>
      <c r="K35" s="375" t="s">
        <v>109</v>
      </c>
      <c r="L35" s="558">
        <f>'Cut Flower 9'!C214</f>
        <v>0</v>
      </c>
      <c r="M35" s="376"/>
      <c r="N35" s="375" t="s">
        <v>109</v>
      </c>
      <c r="O35" s="558">
        <f>'Cut Flower 10'!C214</f>
        <v>0</v>
      </c>
    </row>
    <row r="36" spans="2:15" ht="18" customHeight="1" x14ac:dyDescent="0.2">
      <c r="B36" s="364" t="s">
        <v>95</v>
      </c>
      <c r="C36" s="365" t="str">
        <f>'Cut Flower 6'!C215</f>
        <v>stem, bouquet, lbs, bucket, jar</v>
      </c>
      <c r="D36" s="363"/>
      <c r="E36" s="364" t="s">
        <v>95</v>
      </c>
      <c r="F36" s="365" t="str">
        <f>'Cut Flower 7'!C215</f>
        <v>stem, bouquet, lbs, bucket, jar</v>
      </c>
      <c r="G36" s="363"/>
      <c r="H36" s="364" t="s">
        <v>95</v>
      </c>
      <c r="I36" s="365" t="str">
        <f>'Cut Flower 8'!C215</f>
        <v>stem, bouquet, lbs, bucket, jar</v>
      </c>
      <c r="J36" s="363"/>
      <c r="K36" s="364" t="s">
        <v>95</v>
      </c>
      <c r="L36" s="365" t="str">
        <f>'Cut Flower 9'!C215</f>
        <v>stem, bouquet, lbs, bucket, jar</v>
      </c>
      <c r="M36" s="363"/>
      <c r="N36" s="364" t="s">
        <v>95</v>
      </c>
      <c r="O36" s="365" t="str">
        <f>'Cut Flower 10'!C215</f>
        <v>stem, bouquet, lbs, bucket, jar</v>
      </c>
    </row>
    <row r="37" spans="2:15" s="40" customFormat="1" ht="18" customHeight="1" x14ac:dyDescent="0.2">
      <c r="B37" s="364" t="s">
        <v>174</v>
      </c>
      <c r="C37" s="558">
        <f>'Cut Flower 6'!C216</f>
        <v>0</v>
      </c>
      <c r="D37" s="362"/>
      <c r="E37" s="364" t="s">
        <v>174</v>
      </c>
      <c r="F37" s="558">
        <f>'Cut Flower 7'!C216</f>
        <v>0</v>
      </c>
      <c r="G37" s="362"/>
      <c r="H37" s="364" t="s">
        <v>174</v>
      </c>
      <c r="I37" s="558">
        <f>'Cut Flower 8'!C216</f>
        <v>0</v>
      </c>
      <c r="J37" s="362"/>
      <c r="K37" s="364" t="s">
        <v>174</v>
      </c>
      <c r="L37" s="558">
        <f>'Cut Flower 9'!C216</f>
        <v>0</v>
      </c>
      <c r="M37" s="362"/>
      <c r="N37" s="364" t="s">
        <v>174</v>
      </c>
      <c r="O37" s="558">
        <f>'Cut Flower 10'!C216</f>
        <v>0</v>
      </c>
    </row>
    <row r="38" spans="2:15" s="49" customFormat="1" ht="18" customHeight="1" x14ac:dyDescent="0.2">
      <c r="B38" s="364" t="s">
        <v>168</v>
      </c>
      <c r="C38" s="569">
        <f>'Cut Flower 6'!C217</f>
        <v>0</v>
      </c>
      <c r="D38" s="379"/>
      <c r="E38" s="364" t="s">
        <v>168</v>
      </c>
      <c r="F38" s="569">
        <f>'Cut Flower 7'!C217</f>
        <v>0</v>
      </c>
      <c r="G38" s="379"/>
      <c r="H38" s="364" t="s">
        <v>168</v>
      </c>
      <c r="I38" s="569">
        <f>'Cut Flower 8'!C217</f>
        <v>0</v>
      </c>
      <c r="J38" s="379"/>
      <c r="K38" s="364" t="s">
        <v>168</v>
      </c>
      <c r="L38" s="569">
        <f>'Cut Flower 9'!C217</f>
        <v>0</v>
      </c>
      <c r="M38" s="379"/>
      <c r="N38" s="364" t="s">
        <v>168</v>
      </c>
      <c r="O38" s="569">
        <f>'Cut Flower 10'!C217</f>
        <v>0</v>
      </c>
    </row>
    <row r="39" spans="2:15" s="40" customFormat="1" ht="18" customHeight="1" thickBot="1" x14ac:dyDescent="0.25">
      <c r="B39" s="375" t="s">
        <v>105</v>
      </c>
      <c r="C39" s="558">
        <f>'Cut Flower 6'!C218</f>
        <v>0</v>
      </c>
      <c r="D39" s="366"/>
      <c r="E39" s="375" t="s">
        <v>105</v>
      </c>
      <c r="F39" s="558">
        <f>'Cut Flower 7'!C218</f>
        <v>0</v>
      </c>
      <c r="G39" s="366"/>
      <c r="H39" s="375" t="s">
        <v>105</v>
      </c>
      <c r="I39" s="558">
        <f>'Cut Flower 8'!C218</f>
        <v>0</v>
      </c>
      <c r="J39" s="366"/>
      <c r="K39" s="375" t="s">
        <v>105</v>
      </c>
      <c r="L39" s="558">
        <f>'Cut Flower 9'!C218</f>
        <v>0</v>
      </c>
      <c r="M39" s="362"/>
      <c r="N39" s="375" t="s">
        <v>105</v>
      </c>
      <c r="O39" s="558">
        <f>'Cut Flower 10'!C218</f>
        <v>0</v>
      </c>
    </row>
    <row r="40" spans="2:15" s="77" customFormat="1" ht="18" customHeight="1" thickBot="1" x14ac:dyDescent="0.25">
      <c r="B40" s="373" t="s">
        <v>345</v>
      </c>
      <c r="C40" s="560">
        <f>'Cut Flower 6'!C219</f>
        <v>0</v>
      </c>
      <c r="D40" s="374"/>
      <c r="E40" s="373" t="s">
        <v>345</v>
      </c>
      <c r="F40" s="560">
        <f>'Cut Flower 7'!C219</f>
        <v>0</v>
      </c>
      <c r="G40" s="374"/>
      <c r="H40" s="373" t="s">
        <v>345</v>
      </c>
      <c r="I40" s="560">
        <f>'Cut Flower 8'!C219</f>
        <v>0</v>
      </c>
      <c r="J40" s="374"/>
      <c r="K40" s="373" t="s">
        <v>345</v>
      </c>
      <c r="L40" s="560">
        <f>'Cut Flower 9'!C219</f>
        <v>0</v>
      </c>
      <c r="M40" s="374"/>
      <c r="N40" s="373" t="s">
        <v>345</v>
      </c>
      <c r="O40" s="560">
        <f>'Cut Flower 10'!C219</f>
        <v>0</v>
      </c>
    </row>
    <row r="41" spans="2:15" s="77" customFormat="1" ht="18" customHeight="1" x14ac:dyDescent="0.2">
      <c r="B41" s="375" t="s">
        <v>169</v>
      </c>
      <c r="C41" s="558">
        <f>'Cut Flower 6'!C220</f>
        <v>0</v>
      </c>
      <c r="D41" s="374"/>
      <c r="E41" s="375" t="s">
        <v>169</v>
      </c>
      <c r="F41" s="558">
        <f>'Cut Flower 7'!C220</f>
        <v>0</v>
      </c>
      <c r="G41" s="374"/>
      <c r="H41" s="375" t="s">
        <v>169</v>
      </c>
      <c r="I41" s="558">
        <f>'Cut Flower 8'!C220</f>
        <v>0</v>
      </c>
      <c r="J41" s="374"/>
      <c r="K41" s="375" t="s">
        <v>169</v>
      </c>
      <c r="L41" s="558">
        <f>'Cut Flower 9'!C220</f>
        <v>0</v>
      </c>
      <c r="M41" s="374"/>
      <c r="N41" s="375" t="s">
        <v>169</v>
      </c>
      <c r="O41" s="558">
        <f>'Cut Flower 10'!C220</f>
        <v>0</v>
      </c>
    </row>
    <row r="42" spans="2:15" s="40" customFormat="1" ht="18" customHeight="1" thickBot="1" x14ac:dyDescent="0.25">
      <c r="B42" s="372" t="s">
        <v>111</v>
      </c>
      <c r="C42" s="559">
        <f>'Cut Flower 6'!C221</f>
        <v>0</v>
      </c>
      <c r="D42" s="366"/>
      <c r="E42" s="372" t="s">
        <v>111</v>
      </c>
      <c r="F42" s="559">
        <f>'Cut Flower 7'!C221</f>
        <v>0</v>
      </c>
      <c r="G42" s="366"/>
      <c r="H42" s="372" t="s">
        <v>111</v>
      </c>
      <c r="I42" s="559">
        <f>'Cut Flower 8'!C221</f>
        <v>0</v>
      </c>
      <c r="J42" s="366"/>
      <c r="K42" s="372" t="s">
        <v>111</v>
      </c>
      <c r="L42" s="559">
        <f>'Cut Flower 9'!C221</f>
        <v>0</v>
      </c>
      <c r="M42" s="362"/>
      <c r="N42" s="372" t="s">
        <v>111</v>
      </c>
      <c r="O42" s="559">
        <f>'Cut Flower 10'!C221</f>
        <v>0</v>
      </c>
    </row>
    <row r="43" spans="2:15" ht="18" customHeight="1" x14ac:dyDescent="0.2">
      <c r="B43" s="363"/>
      <c r="C43" s="363"/>
      <c r="D43" s="363"/>
      <c r="E43" s="363"/>
      <c r="F43" s="363"/>
      <c r="G43" s="363"/>
      <c r="H43" s="363"/>
      <c r="I43" s="363"/>
      <c r="J43" s="363"/>
      <c r="K43" s="363"/>
      <c r="L43" s="363"/>
      <c r="M43" s="363"/>
      <c r="N43" s="363"/>
      <c r="O43" s="363"/>
    </row>
  </sheetData>
  <sheetProtection selectLockedCells="1"/>
  <mergeCells count="11">
    <mergeCell ref="B2:D2"/>
    <mergeCell ref="N16:O16"/>
    <mergeCell ref="E30:F30"/>
    <mergeCell ref="B30:C30"/>
    <mergeCell ref="H30:I30"/>
    <mergeCell ref="K30:L30"/>
    <mergeCell ref="N30:O30"/>
    <mergeCell ref="B16:C16"/>
    <mergeCell ref="E16:F16"/>
    <mergeCell ref="K16:L16"/>
    <mergeCell ref="H16:I16"/>
  </mergeCells>
  <phoneticPr fontId="38" type="noConversion"/>
  <pageMargins left="0.25" right="0.25" top="0.75" bottom="0.75" header="0.3" footer="0.3"/>
  <pageSetup scale="54" fitToHeight="0" orientation="landscape" r:id="rId1"/>
  <headerFooter>
    <oddHeader>&amp;A</oddHeader>
    <oddFooter>&amp;F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B1:J168"/>
  <sheetViews>
    <sheetView showGridLines="0" topLeftCell="A4" zoomScaleNormal="100" workbookViewId="0">
      <selection activeCell="F16" sqref="F16"/>
    </sheetView>
  </sheetViews>
  <sheetFormatPr baseColWidth="10" defaultColWidth="8.83203125" defaultRowHeight="18" customHeight="1" x14ac:dyDescent="0.2"/>
  <cols>
    <col min="1" max="1" width="3.33203125" style="78" customWidth="1"/>
    <col min="2" max="2" width="36.83203125" style="78" customWidth="1"/>
    <col min="3" max="3" width="23.5" style="78" customWidth="1"/>
    <col min="4" max="4" width="36.6640625" style="78" customWidth="1"/>
    <col min="5" max="5" width="36.6640625" style="79" customWidth="1"/>
    <col min="6" max="6" width="17.83203125" style="78" customWidth="1"/>
    <col min="7" max="7" width="15.6640625" style="78" customWidth="1"/>
    <col min="8" max="8" width="1.83203125" style="78" customWidth="1"/>
    <col min="9" max="9" width="15.6640625" style="78" customWidth="1"/>
    <col min="10" max="10" width="19.33203125" style="78" customWidth="1"/>
    <col min="11" max="11" width="12.5" style="78" customWidth="1"/>
    <col min="12" max="12" width="15.6640625" style="78" customWidth="1"/>
    <col min="13" max="16384" width="8.83203125" style="78"/>
  </cols>
  <sheetData>
    <row r="1" spans="2:7" ht="10" customHeight="1" x14ac:dyDescent="0.2"/>
    <row r="2" spans="2:7" ht="27" customHeight="1" x14ac:dyDescent="0.3">
      <c r="B2" s="601" t="s">
        <v>344</v>
      </c>
      <c r="C2" s="601"/>
    </row>
    <row r="3" spans="2:7" ht="18" customHeight="1" thickBot="1" x14ac:dyDescent="0.25"/>
    <row r="4" spans="2:7" ht="27" customHeight="1" thickBot="1" x14ac:dyDescent="0.25">
      <c r="B4" s="183" t="s">
        <v>334</v>
      </c>
      <c r="C4" s="184"/>
      <c r="D4" s="185"/>
      <c r="E4" s="733" t="s">
        <v>335</v>
      </c>
      <c r="F4" s="734"/>
      <c r="G4" s="79"/>
    </row>
    <row r="5" spans="2:7" ht="18" customHeight="1" thickBot="1" x14ac:dyDescent="0.25">
      <c r="B5" s="177"/>
      <c r="C5" s="177"/>
      <c r="E5" s="177"/>
      <c r="F5" s="177"/>
      <c r="G5" s="79"/>
    </row>
    <row r="6" spans="2:7" ht="18" customHeight="1" x14ac:dyDescent="0.2">
      <c r="B6" s="316" t="s">
        <v>266</v>
      </c>
      <c r="C6" s="382">
        <f>'All Cut Flowers Assessment'!C17+'All Cut Flowers Assessment'!F17+'All Cut Flowers Assessment'!I17+'All Cut Flowers Assessment'!L17+'All Cut Flowers Assessment'!O17+'All Cut Flowers Assessment'!C31+'All Cut Flowers Assessment'!F31+'All Cut Flowers Assessment'!I31+'All Cut Flowers Assessment'!L31+'All Cut Flowers Assessment'!O31</f>
        <v>0</v>
      </c>
      <c r="E6" s="316" t="s">
        <v>266</v>
      </c>
      <c r="F6" s="317">
        <f>C49</f>
        <v>0</v>
      </c>
      <c r="G6" s="79"/>
    </row>
    <row r="7" spans="2:7" ht="18" customHeight="1" x14ac:dyDescent="0.2">
      <c r="B7" s="187" t="s">
        <v>267</v>
      </c>
      <c r="C7" s="339">
        <f>C8</f>
        <v>0</v>
      </c>
      <c r="E7" s="187" t="s">
        <v>267</v>
      </c>
      <c r="F7" s="188">
        <f>F8+F9</f>
        <v>0</v>
      </c>
      <c r="G7" s="79"/>
    </row>
    <row r="8" spans="2:7" ht="18" customHeight="1" x14ac:dyDescent="0.2">
      <c r="B8" s="187" t="s">
        <v>343</v>
      </c>
      <c r="C8" s="339">
        <f>C63</f>
        <v>0</v>
      </c>
      <c r="E8" s="187" t="s">
        <v>343</v>
      </c>
      <c r="F8" s="188">
        <f>C8</f>
        <v>0</v>
      </c>
      <c r="G8" s="79"/>
    </row>
    <row r="9" spans="2:7" ht="37" customHeight="1" x14ac:dyDescent="0.2">
      <c r="B9" s="187"/>
      <c r="C9" s="188"/>
      <c r="E9" s="341" t="s">
        <v>342</v>
      </c>
      <c r="F9" s="320">
        <v>0</v>
      </c>
      <c r="G9" s="79"/>
    </row>
    <row r="10" spans="2:7" ht="18" customHeight="1" x14ac:dyDescent="0.2">
      <c r="B10" s="313" t="s">
        <v>268</v>
      </c>
      <c r="C10" s="314">
        <f>C6-C7</f>
        <v>0</v>
      </c>
      <c r="E10" s="313" t="s">
        <v>268</v>
      </c>
      <c r="F10" s="314">
        <f>F6-F7</f>
        <v>0</v>
      </c>
      <c r="G10" s="79"/>
    </row>
    <row r="11" spans="2:7" ht="18" customHeight="1" x14ac:dyDescent="0.2">
      <c r="B11" s="313" t="s">
        <v>386</v>
      </c>
      <c r="C11" s="395">
        <f>IFERROR(C10/C6,0)</f>
        <v>0</v>
      </c>
      <c r="E11" s="313" t="s">
        <v>386</v>
      </c>
      <c r="F11" s="395">
        <f>IFERROR(F10/F6,0)</f>
        <v>0</v>
      </c>
      <c r="G11" s="79"/>
    </row>
    <row r="12" spans="2:7" ht="18" customHeight="1" x14ac:dyDescent="0.2">
      <c r="B12" s="187" t="s">
        <v>279</v>
      </c>
      <c r="C12" s="188">
        <f>SUM(C13:C15)</f>
        <v>0</v>
      </c>
      <c r="E12" s="187" t="s">
        <v>279</v>
      </c>
      <c r="F12" s="188">
        <f>SUM(F13:F15)</f>
        <v>0</v>
      </c>
      <c r="G12" s="79"/>
    </row>
    <row r="13" spans="2:7" ht="18" customHeight="1" x14ac:dyDescent="0.2">
      <c r="B13" s="187" t="s">
        <v>269</v>
      </c>
      <c r="C13" s="188">
        <f>F13*D44</f>
        <v>0</v>
      </c>
      <c r="E13" s="187" t="s">
        <v>269</v>
      </c>
      <c r="F13" s="188">
        <f>' Labor Overheads'!C38</f>
        <v>0</v>
      </c>
      <c r="G13" s="79"/>
    </row>
    <row r="14" spans="2:7" ht="18" customHeight="1" x14ac:dyDescent="0.2">
      <c r="B14" s="187" t="s">
        <v>270</v>
      </c>
      <c r="C14" s="188">
        <f>F14*D44</f>
        <v>0</v>
      </c>
      <c r="E14" s="187" t="s">
        <v>270</v>
      </c>
      <c r="F14" s="188">
        <f>'Cash Overheads'!C69</f>
        <v>0</v>
      </c>
      <c r="G14" s="79"/>
    </row>
    <row r="15" spans="2:7" ht="18" customHeight="1" x14ac:dyDescent="0.2">
      <c r="B15" s="187" t="s">
        <v>271</v>
      </c>
      <c r="C15" s="188">
        <f>F15*D44</f>
        <v>0</v>
      </c>
      <c r="E15" s="187" t="s">
        <v>271</v>
      </c>
      <c r="F15" s="188">
        <f>'Depreciation Overheads'!F84</f>
        <v>0</v>
      </c>
      <c r="G15" s="79"/>
    </row>
    <row r="16" spans="2:7" ht="18" customHeight="1" x14ac:dyDescent="0.2">
      <c r="B16" s="313" t="s">
        <v>273</v>
      </c>
      <c r="C16" s="314">
        <f>C10-C12</f>
        <v>0</v>
      </c>
      <c r="E16" s="313" t="s">
        <v>273</v>
      </c>
      <c r="F16" s="314">
        <f>F10-F12</f>
        <v>0</v>
      </c>
      <c r="G16" s="79"/>
    </row>
    <row r="17" spans="2:7" ht="18" customHeight="1" x14ac:dyDescent="0.2">
      <c r="B17" s="313" t="s">
        <v>272</v>
      </c>
      <c r="C17" s="395">
        <f>IFERROR(C16/C6,0)</f>
        <v>0</v>
      </c>
      <c r="E17" s="313" t="s">
        <v>272</v>
      </c>
      <c r="F17" s="395">
        <f>IFERROR(F16/F6,0)</f>
        <v>0</v>
      </c>
      <c r="G17" s="79"/>
    </row>
    <row r="18" spans="2:7" ht="18" customHeight="1" x14ac:dyDescent="0.2">
      <c r="B18" s="187" t="s">
        <v>274</v>
      </c>
      <c r="C18" s="188">
        <f>F18*D44</f>
        <v>0</v>
      </c>
      <c r="E18" s="187" t="s">
        <v>274</v>
      </c>
      <c r="F18" s="188">
        <f>'Describe Your Farm'!E22</f>
        <v>0</v>
      </c>
      <c r="G18" s="79"/>
    </row>
    <row r="19" spans="2:7" ht="18" customHeight="1" x14ac:dyDescent="0.2">
      <c r="B19" s="313" t="s">
        <v>275</v>
      </c>
      <c r="C19" s="314">
        <f>C16-C18</f>
        <v>0</v>
      </c>
      <c r="E19" s="313" t="s">
        <v>275</v>
      </c>
      <c r="F19" s="314">
        <f>F16-F18</f>
        <v>0</v>
      </c>
      <c r="G19" s="79"/>
    </row>
    <row r="20" spans="2:7" ht="18" customHeight="1" x14ac:dyDescent="0.2">
      <c r="B20" s="187" t="s">
        <v>276</v>
      </c>
      <c r="C20" s="188">
        <f>C19*C21</f>
        <v>0</v>
      </c>
      <c r="E20" s="187" t="s">
        <v>276</v>
      </c>
      <c r="F20" s="188">
        <f>F19*F21</f>
        <v>0</v>
      </c>
      <c r="G20" s="79"/>
    </row>
    <row r="21" spans="2:7" ht="18" customHeight="1" x14ac:dyDescent="0.2">
      <c r="B21" s="187" t="s">
        <v>341</v>
      </c>
      <c r="C21" s="340">
        <v>0.1</v>
      </c>
      <c r="E21" s="187" t="s">
        <v>341</v>
      </c>
      <c r="F21" s="339">
        <f>C21</f>
        <v>0.1</v>
      </c>
      <c r="G21" s="79"/>
    </row>
    <row r="22" spans="2:7" ht="18" customHeight="1" x14ac:dyDescent="0.2">
      <c r="B22" s="313" t="s">
        <v>277</v>
      </c>
      <c r="C22" s="314">
        <f>C19-C20</f>
        <v>0</v>
      </c>
      <c r="E22" s="313" t="s">
        <v>277</v>
      </c>
      <c r="F22" s="314">
        <f>F19-F20</f>
        <v>0</v>
      </c>
      <c r="G22" s="79"/>
    </row>
    <row r="23" spans="2:7" ht="18" customHeight="1" thickBot="1" x14ac:dyDescent="0.25">
      <c r="B23" s="315" t="s">
        <v>278</v>
      </c>
      <c r="C23" s="396">
        <f>IFERROR(C22/C6,0)</f>
        <v>0</v>
      </c>
      <c r="E23" s="315" t="s">
        <v>278</v>
      </c>
      <c r="F23" s="396">
        <f>IFERROR(F22/F6,0)</f>
        <v>0</v>
      </c>
      <c r="G23" s="79"/>
    </row>
    <row r="24" spans="2:7" ht="18" customHeight="1" thickBot="1" x14ac:dyDescent="0.25">
      <c r="B24" s="327"/>
      <c r="C24" s="328"/>
      <c r="E24" s="327"/>
      <c r="F24" s="328"/>
      <c r="G24" s="79"/>
    </row>
    <row r="25" spans="2:7" ht="18" customHeight="1" x14ac:dyDescent="0.2">
      <c r="B25" s="386" t="s">
        <v>370</v>
      </c>
      <c r="C25" s="571">
        <f>-'Depreciation Overheads'!F83</f>
        <v>0</v>
      </c>
      <c r="D25" s="157" t="s">
        <v>362</v>
      </c>
      <c r="E25" s="327"/>
      <c r="F25" s="328"/>
      <c r="G25" s="79"/>
    </row>
    <row r="26" spans="2:7" ht="18" customHeight="1" x14ac:dyDescent="0.2">
      <c r="B26" s="388" t="s">
        <v>371</v>
      </c>
      <c r="C26" s="572">
        <f>(C6-C7-C12)*(1-C21)+C15</f>
        <v>0</v>
      </c>
      <c r="D26" s="157" t="s">
        <v>387</v>
      </c>
      <c r="E26" s="327"/>
      <c r="F26" s="328"/>
      <c r="G26" s="79"/>
    </row>
    <row r="27" spans="2:7" ht="18" customHeight="1" x14ac:dyDescent="0.2">
      <c r="B27" s="388" t="s">
        <v>363</v>
      </c>
      <c r="C27" s="574">
        <v>30</v>
      </c>
      <c r="D27" s="157" t="s">
        <v>372</v>
      </c>
      <c r="E27" s="327"/>
      <c r="F27" s="328"/>
      <c r="G27" s="79"/>
    </row>
    <row r="28" spans="2:7" ht="18" customHeight="1" x14ac:dyDescent="0.2">
      <c r="B28" s="388" t="s">
        <v>367</v>
      </c>
      <c r="C28" s="575">
        <v>0.05</v>
      </c>
      <c r="D28" s="157" t="s">
        <v>373</v>
      </c>
      <c r="E28" s="327"/>
      <c r="F28" s="328"/>
      <c r="G28" s="79"/>
    </row>
    <row r="29" spans="2:7" ht="18" customHeight="1" x14ac:dyDescent="0.2">
      <c r="B29" s="313" t="s">
        <v>369</v>
      </c>
      <c r="C29" s="394">
        <f>IFERROR(-C25/C26,0)</f>
        <v>0</v>
      </c>
      <c r="D29" s="157" t="s">
        <v>378</v>
      </c>
      <c r="E29" s="327"/>
      <c r="F29" s="328"/>
      <c r="G29" s="79"/>
    </row>
    <row r="30" spans="2:7" ht="18" customHeight="1" x14ac:dyDescent="0.2">
      <c r="B30" s="313" t="s">
        <v>364</v>
      </c>
      <c r="C30" s="573">
        <f>NPV(C28,C83:C152)+C25</f>
        <v>0</v>
      </c>
      <c r="D30" s="157" t="s">
        <v>374</v>
      </c>
      <c r="E30" s="327"/>
      <c r="F30" s="328"/>
      <c r="G30" s="79"/>
    </row>
    <row r="31" spans="2:7" ht="18" customHeight="1" x14ac:dyDescent="0.2">
      <c r="B31" s="313" t="s">
        <v>365</v>
      </c>
      <c r="C31" s="395">
        <f>IFERROR(IRR(C82:C152),0)</f>
        <v>0</v>
      </c>
      <c r="D31" s="157" t="s">
        <v>368</v>
      </c>
      <c r="E31" s="327"/>
      <c r="F31" s="328"/>
      <c r="G31" s="79"/>
    </row>
    <row r="32" spans="2:7" ht="18" customHeight="1" thickBot="1" x14ac:dyDescent="0.25">
      <c r="B32" s="315" t="s">
        <v>366</v>
      </c>
      <c r="C32" s="393">
        <f>IFERROR(PV(C28,C27,C26)/C25,0)</f>
        <v>0</v>
      </c>
      <c r="D32" s="157" t="s">
        <v>377</v>
      </c>
      <c r="E32" s="327"/>
      <c r="F32" s="328"/>
      <c r="G32" s="79"/>
    </row>
    <row r="33" spans="2:10" ht="18" customHeight="1" x14ac:dyDescent="0.2">
      <c r="B33" s="327"/>
      <c r="C33" s="328"/>
      <c r="E33" s="327"/>
      <c r="F33" s="328"/>
      <c r="G33" s="79"/>
    </row>
    <row r="34" spans="2:10" ht="18" customHeight="1" thickBot="1" x14ac:dyDescent="0.25">
      <c r="B34" s="177"/>
      <c r="C34" s="177"/>
    </row>
    <row r="35" spans="2:10" ht="27" customHeight="1" thickBot="1" x14ac:dyDescent="0.25">
      <c r="B35" s="329" t="s">
        <v>280</v>
      </c>
      <c r="C35" s="186"/>
      <c r="D35" s="186"/>
      <c r="E35" s="180"/>
      <c r="F35" s="181"/>
      <c r="G35" s="181"/>
      <c r="H35" s="181"/>
      <c r="J35" s="181"/>
    </row>
    <row r="36" spans="2:10" ht="18" customHeight="1" x14ac:dyDescent="0.2">
      <c r="B36" s="182"/>
      <c r="C36" s="182"/>
      <c r="D36" s="182"/>
      <c r="E36" s="180"/>
      <c r="F36" s="181"/>
      <c r="G36" s="181"/>
      <c r="H36" s="181"/>
      <c r="J36" s="181"/>
    </row>
    <row r="37" spans="2:10" ht="18" customHeight="1" x14ac:dyDescent="0.2">
      <c r="B37" s="182"/>
      <c r="C37" s="182"/>
      <c r="D37" s="182"/>
      <c r="E37" s="180"/>
      <c r="F37" s="181"/>
      <c r="G37" s="181"/>
      <c r="H37" s="181"/>
      <c r="J37" s="181"/>
    </row>
    <row r="38" spans="2:10" ht="18" customHeight="1" x14ac:dyDescent="0.2">
      <c r="B38" s="182"/>
      <c r="C38" s="182"/>
      <c r="D38" s="182"/>
      <c r="E38" s="180"/>
      <c r="F38" s="181"/>
      <c r="G38" s="181"/>
      <c r="H38" s="181"/>
      <c r="J38" s="181"/>
    </row>
    <row r="39" spans="2:10" ht="18" customHeight="1" x14ac:dyDescent="0.2">
      <c r="B39" s="182"/>
      <c r="C39" s="182"/>
      <c r="D39" s="182"/>
      <c r="E39" s="180"/>
      <c r="F39" s="181"/>
      <c r="G39" s="181"/>
      <c r="H39" s="181"/>
      <c r="J39" s="181"/>
    </row>
    <row r="40" spans="2:10" ht="18" customHeight="1" x14ac:dyDescent="0.2">
      <c r="B40" s="182"/>
      <c r="C40" s="182"/>
      <c r="D40" s="182"/>
      <c r="E40" s="180"/>
      <c r="F40" s="181"/>
      <c r="G40" s="181"/>
      <c r="H40" s="181"/>
      <c r="J40" s="181"/>
    </row>
    <row r="41" spans="2:10" ht="18" customHeight="1" thickBot="1" x14ac:dyDescent="0.25">
      <c r="B41" s="182"/>
      <c r="C41" s="182"/>
      <c r="D41" s="182"/>
      <c r="E41" s="180"/>
      <c r="F41" s="181"/>
      <c r="G41" s="181"/>
      <c r="H41" s="181"/>
      <c r="J41" s="181"/>
    </row>
    <row r="42" spans="2:10" ht="18" customHeight="1" thickBot="1" x14ac:dyDescent="0.25">
      <c r="B42" s="727" t="s">
        <v>284</v>
      </c>
      <c r="C42" s="728"/>
      <c r="D42" s="728"/>
      <c r="E42" s="729"/>
      <c r="F42" s="181"/>
      <c r="G42" s="181"/>
      <c r="H42" s="181"/>
      <c r="J42" s="181"/>
    </row>
    <row r="43" spans="2:10" ht="18" customHeight="1" x14ac:dyDescent="0.2">
      <c r="B43" s="338" t="s">
        <v>336</v>
      </c>
      <c r="C43" s="335" t="s">
        <v>281</v>
      </c>
      <c r="D43" s="336" t="s">
        <v>339</v>
      </c>
      <c r="E43" s="337" t="s">
        <v>282</v>
      </c>
      <c r="F43" s="181"/>
      <c r="G43" s="181"/>
      <c r="H43" s="181"/>
      <c r="J43" s="181"/>
    </row>
    <row r="44" spans="2:10" ht="18" customHeight="1" x14ac:dyDescent="0.2">
      <c r="B44" s="109" t="s">
        <v>265</v>
      </c>
      <c r="C44" s="401">
        <f>C6</f>
        <v>0</v>
      </c>
      <c r="D44" s="189">
        <f>IFERROR(C44/$C$49,0)</f>
        <v>0</v>
      </c>
      <c r="E44" s="190">
        <f>$F$12*D44</f>
        <v>0</v>
      </c>
      <c r="F44" s="181"/>
      <c r="G44" s="181"/>
      <c r="H44" s="181"/>
      <c r="J44" s="181"/>
    </row>
    <row r="45" spans="2:10" ht="18" customHeight="1" x14ac:dyDescent="0.2">
      <c r="B45" s="109" t="s">
        <v>264</v>
      </c>
      <c r="C45" s="401">
        <f>'Describe Your Farm'!C10</f>
        <v>0</v>
      </c>
      <c r="D45" s="189">
        <f t="shared" ref="D45:D48" si="0">IFERROR(C45/$C$49,0)</f>
        <v>0</v>
      </c>
      <c r="E45" s="190">
        <f t="shared" ref="E45:E49" si="1">$F$12*D45</f>
        <v>0</v>
      </c>
      <c r="F45" s="181"/>
      <c r="G45" s="181"/>
      <c r="H45" s="181"/>
      <c r="J45" s="181"/>
    </row>
    <row r="46" spans="2:10" ht="18" customHeight="1" x14ac:dyDescent="0.2">
      <c r="B46" s="109" t="s">
        <v>142</v>
      </c>
      <c r="C46" s="401">
        <f>'Describe Your Farm'!C11</f>
        <v>0</v>
      </c>
      <c r="D46" s="189">
        <f t="shared" si="0"/>
        <v>0</v>
      </c>
      <c r="E46" s="190">
        <f t="shared" si="1"/>
        <v>0</v>
      </c>
      <c r="F46" s="181"/>
      <c r="G46" s="181"/>
      <c r="H46" s="181"/>
      <c r="J46" s="181"/>
    </row>
    <row r="47" spans="2:10" ht="18" customHeight="1" x14ac:dyDescent="0.2">
      <c r="B47" s="109" t="s">
        <v>104</v>
      </c>
      <c r="C47" s="401">
        <f>'Describe Your Farm'!C12</f>
        <v>0</v>
      </c>
      <c r="D47" s="189">
        <f t="shared" si="0"/>
        <v>0</v>
      </c>
      <c r="E47" s="190">
        <f t="shared" si="1"/>
        <v>0</v>
      </c>
      <c r="F47" s="181"/>
      <c r="G47" s="381"/>
      <c r="H47" s="181"/>
      <c r="J47" s="181"/>
    </row>
    <row r="48" spans="2:10" ht="18" customHeight="1" x14ac:dyDescent="0.2">
      <c r="B48" s="109" t="s">
        <v>54</v>
      </c>
      <c r="C48" s="401">
        <f>'Describe Your Farm'!C13</f>
        <v>0</v>
      </c>
      <c r="D48" s="189">
        <f t="shared" si="0"/>
        <v>0</v>
      </c>
      <c r="E48" s="190">
        <f t="shared" si="1"/>
        <v>0</v>
      </c>
      <c r="F48" s="181"/>
      <c r="G48" s="181"/>
      <c r="H48" s="181"/>
      <c r="J48" s="181"/>
    </row>
    <row r="49" spans="2:10" ht="18" customHeight="1" thickBot="1" x14ac:dyDescent="0.25">
      <c r="B49" s="176" t="s">
        <v>262</v>
      </c>
      <c r="C49" s="205">
        <f>SUM(C44:C48)</f>
        <v>0</v>
      </c>
      <c r="D49" s="326">
        <f>SUM(D44:D48)</f>
        <v>0</v>
      </c>
      <c r="E49" s="330">
        <f t="shared" si="1"/>
        <v>0</v>
      </c>
      <c r="F49" s="181"/>
      <c r="G49" s="181"/>
      <c r="H49" s="181"/>
      <c r="J49" s="181"/>
    </row>
    <row r="50" spans="2:10" ht="18" customHeight="1" thickBot="1" x14ac:dyDescent="0.25">
      <c r="B50" s="182"/>
      <c r="C50" s="182"/>
      <c r="D50" s="182"/>
      <c r="E50" s="180"/>
      <c r="F50" s="181"/>
      <c r="G50" s="181"/>
      <c r="H50" s="181"/>
      <c r="J50" s="181"/>
    </row>
    <row r="51" spans="2:10" ht="18" customHeight="1" thickBot="1" x14ac:dyDescent="0.25">
      <c r="B51" s="730" t="s">
        <v>283</v>
      </c>
      <c r="C51" s="731"/>
      <c r="D51" s="731"/>
      <c r="E51" s="732"/>
      <c r="F51" s="181"/>
      <c r="G51" s="181"/>
      <c r="H51" s="181"/>
      <c r="J51" s="181"/>
    </row>
    <row r="52" spans="2:10" s="181" customFormat="1" ht="18" customHeight="1" x14ac:dyDescent="0.2">
      <c r="B52" s="338" t="s">
        <v>340</v>
      </c>
      <c r="C52" s="324" t="s">
        <v>106</v>
      </c>
      <c r="D52" s="324" t="s">
        <v>110</v>
      </c>
      <c r="E52" s="325" t="s">
        <v>282</v>
      </c>
      <c r="F52" s="84"/>
      <c r="G52" s="84"/>
      <c r="H52" s="84"/>
      <c r="J52" s="84"/>
    </row>
    <row r="53" spans="2:10" s="84" customFormat="1" ht="18" customHeight="1" x14ac:dyDescent="0.2">
      <c r="B53" s="207" t="str">
        <f>"1: "&amp;'Cut Flower 1'!F9</f>
        <v>1: write crop name here</v>
      </c>
      <c r="C53" s="576">
        <f>'All Cut Flowers Assessment'!C18</f>
        <v>0</v>
      </c>
      <c r="D53" s="191">
        <f>IFERROR(C53/C63,0)</f>
        <v>0</v>
      </c>
      <c r="E53" s="466">
        <f>D53*$E$44</f>
        <v>0</v>
      </c>
      <c r="F53" s="148"/>
      <c r="G53" s="148"/>
      <c r="H53" s="148"/>
      <c r="J53" s="148"/>
    </row>
    <row r="54" spans="2:10" s="148" customFormat="1" ht="18" customHeight="1" x14ac:dyDescent="0.2">
      <c r="B54" s="109" t="str">
        <f>"2: "&amp;'Cut Flower 2'!B2</f>
        <v>2: write name here</v>
      </c>
      <c r="C54" s="401">
        <f>'All Cut Flowers Assessment'!F18</f>
        <v>0</v>
      </c>
      <c r="D54" s="192">
        <f>IFERROR(C54/C63,0)</f>
        <v>0</v>
      </c>
      <c r="E54" s="466">
        <f t="shared" ref="E54:E63" si="2">D54*$E$44</f>
        <v>0</v>
      </c>
    </row>
    <row r="55" spans="2:10" s="148" customFormat="1" ht="18" customHeight="1" x14ac:dyDescent="0.2">
      <c r="B55" s="109" t="str">
        <f>"3: "&amp;'Cut Flower 3'!B2</f>
        <v>3: write name here</v>
      </c>
      <c r="C55" s="401">
        <f>'All Cut Flowers Assessment'!I18</f>
        <v>0</v>
      </c>
      <c r="D55" s="192">
        <f>IFERROR(C55/C63,0)</f>
        <v>0</v>
      </c>
      <c r="E55" s="466">
        <f t="shared" si="2"/>
        <v>0</v>
      </c>
    </row>
    <row r="56" spans="2:10" s="148" customFormat="1" ht="18" customHeight="1" x14ac:dyDescent="0.2">
      <c r="B56" s="109" t="str">
        <f>"4: "&amp;'Cut Flower 4'!B2</f>
        <v>4: write name here</v>
      </c>
      <c r="C56" s="401">
        <f>'All Cut Flowers Assessment'!L18</f>
        <v>0</v>
      </c>
      <c r="D56" s="192">
        <f>IFERROR(C56/C63,0)</f>
        <v>0</v>
      </c>
      <c r="E56" s="466">
        <f t="shared" si="2"/>
        <v>0</v>
      </c>
    </row>
    <row r="57" spans="2:10" s="148" customFormat="1" ht="18" customHeight="1" x14ac:dyDescent="0.2">
      <c r="B57" s="109" t="str">
        <f>"5: "&amp;'Cut Flower 5'!B2</f>
        <v>5: write name here</v>
      </c>
      <c r="C57" s="401">
        <f>'All Cut Flowers Assessment'!O18</f>
        <v>0</v>
      </c>
      <c r="D57" s="192">
        <f>IFERROR(C57/C63,0)</f>
        <v>0</v>
      </c>
      <c r="E57" s="466">
        <f t="shared" si="2"/>
        <v>0</v>
      </c>
    </row>
    <row r="58" spans="2:10" s="148" customFormat="1" ht="18" customHeight="1" x14ac:dyDescent="0.2">
      <c r="B58" s="109" t="str">
        <f>"6: "&amp;'Cut Flower 6'!B2</f>
        <v>6: write name here</v>
      </c>
      <c r="C58" s="401">
        <f>'All Cut Flowers Assessment'!C32</f>
        <v>0</v>
      </c>
      <c r="D58" s="192">
        <f>IFERROR(C58/C63,0)</f>
        <v>0</v>
      </c>
      <c r="E58" s="466">
        <f t="shared" si="2"/>
        <v>0</v>
      </c>
    </row>
    <row r="59" spans="2:10" s="148" customFormat="1" ht="18" customHeight="1" x14ac:dyDescent="0.2">
      <c r="B59" s="109" t="str">
        <f>"7: "&amp;'Cut Flower 7'!B2</f>
        <v>7: write name here</v>
      </c>
      <c r="C59" s="401">
        <f>'All Cut Flowers Assessment'!F32</f>
        <v>0</v>
      </c>
      <c r="D59" s="192">
        <f>IFERROR(C59/C63,0)</f>
        <v>0</v>
      </c>
      <c r="E59" s="466">
        <f t="shared" si="2"/>
        <v>0</v>
      </c>
    </row>
    <row r="60" spans="2:10" s="148" customFormat="1" ht="18" customHeight="1" x14ac:dyDescent="0.2">
      <c r="B60" s="109" t="str">
        <f>"8: "&amp;'Cut Flower 8'!B2</f>
        <v>8: write name here</v>
      </c>
      <c r="C60" s="401">
        <f>'All Cut Flowers Assessment'!I32</f>
        <v>0</v>
      </c>
      <c r="D60" s="192">
        <f>IFERROR(C60/C63,0)</f>
        <v>0</v>
      </c>
      <c r="E60" s="466">
        <f t="shared" si="2"/>
        <v>0</v>
      </c>
    </row>
    <row r="61" spans="2:10" s="148" customFormat="1" ht="18" customHeight="1" x14ac:dyDescent="0.2">
      <c r="B61" s="109" t="str">
        <f>"9: "&amp;'Cut Flower 9'!B2</f>
        <v>9: write name here</v>
      </c>
      <c r="C61" s="401">
        <f>'All Cut Flowers Assessment'!L32</f>
        <v>0</v>
      </c>
      <c r="D61" s="192">
        <f>IFERROR(C61/C63,0)</f>
        <v>0</v>
      </c>
      <c r="E61" s="466">
        <f t="shared" si="2"/>
        <v>0</v>
      </c>
    </row>
    <row r="62" spans="2:10" s="148" customFormat="1" ht="18" customHeight="1" x14ac:dyDescent="0.2">
      <c r="B62" s="109" t="str">
        <f>"10: "&amp;'Cut Flower 10'!B2</f>
        <v>10: write name here</v>
      </c>
      <c r="C62" s="401">
        <f>'All Cut Flowers Assessment'!O32</f>
        <v>0</v>
      </c>
      <c r="D62" s="192">
        <f>IFERROR(C62/C63,0)</f>
        <v>0</v>
      </c>
      <c r="E62" s="466">
        <f t="shared" si="2"/>
        <v>0</v>
      </c>
    </row>
    <row r="63" spans="2:10" s="85" customFormat="1" ht="18" customHeight="1" thickBot="1" x14ac:dyDescent="0.25">
      <c r="B63" s="176" t="s">
        <v>262</v>
      </c>
      <c r="C63" s="205">
        <f>SUM(C53:C62)</f>
        <v>0</v>
      </c>
      <c r="D63" s="331">
        <f>SUM(D53:D62)</f>
        <v>0</v>
      </c>
      <c r="E63" s="464">
        <f t="shared" si="2"/>
        <v>0</v>
      </c>
    </row>
    <row r="79" spans="2:3" ht="18" customHeight="1" thickBot="1" x14ac:dyDescent="0.25"/>
    <row r="80" spans="2:3" ht="18" customHeight="1" thickBot="1" x14ac:dyDescent="0.25">
      <c r="B80" s="735" t="s">
        <v>379</v>
      </c>
      <c r="C80" s="736"/>
    </row>
    <row r="81" spans="2:3" ht="18" customHeight="1" x14ac:dyDescent="0.2">
      <c r="B81" s="332" t="s">
        <v>376</v>
      </c>
      <c r="C81" s="334" t="s">
        <v>375</v>
      </c>
    </row>
    <row r="82" spans="2:3" ht="18" customHeight="1" x14ac:dyDescent="0.2">
      <c r="B82" s="127">
        <v>0</v>
      </c>
      <c r="C82" s="391">
        <f>C25</f>
        <v>0</v>
      </c>
    </row>
    <row r="83" spans="2:3" ht="18" customHeight="1" x14ac:dyDescent="0.2">
      <c r="B83" s="127">
        <v>1</v>
      </c>
      <c r="C83" s="391">
        <f>IF(B83&lt;=$C$27,$C$26,FALSE)</f>
        <v>0</v>
      </c>
    </row>
    <row r="84" spans="2:3" ht="18" customHeight="1" x14ac:dyDescent="0.2">
      <c r="B84" s="127">
        <v>2</v>
      </c>
      <c r="C84" s="391">
        <f t="shared" ref="C84:C147" si="3">IF(B84&lt;=$C$27,$C$26,FALSE)</f>
        <v>0</v>
      </c>
    </row>
    <row r="85" spans="2:3" ht="18" customHeight="1" x14ac:dyDescent="0.2">
      <c r="B85" s="127">
        <v>3</v>
      </c>
      <c r="C85" s="391">
        <f t="shared" si="3"/>
        <v>0</v>
      </c>
    </row>
    <row r="86" spans="2:3" ht="18" customHeight="1" x14ac:dyDescent="0.2">
      <c r="B86" s="127">
        <v>4</v>
      </c>
      <c r="C86" s="391">
        <f t="shared" si="3"/>
        <v>0</v>
      </c>
    </row>
    <row r="87" spans="2:3" ht="18" customHeight="1" x14ac:dyDescent="0.2">
      <c r="B87" s="127">
        <v>5</v>
      </c>
      <c r="C87" s="391">
        <f t="shared" si="3"/>
        <v>0</v>
      </c>
    </row>
    <row r="88" spans="2:3" ht="18" customHeight="1" x14ac:dyDescent="0.2">
      <c r="B88" s="127">
        <v>6</v>
      </c>
      <c r="C88" s="391">
        <f t="shared" si="3"/>
        <v>0</v>
      </c>
    </row>
    <row r="89" spans="2:3" ht="18" customHeight="1" x14ac:dyDescent="0.2">
      <c r="B89" s="127">
        <v>7</v>
      </c>
      <c r="C89" s="391">
        <f t="shared" si="3"/>
        <v>0</v>
      </c>
    </row>
    <row r="90" spans="2:3" ht="18" customHeight="1" x14ac:dyDescent="0.2">
      <c r="B90" s="127">
        <v>8</v>
      </c>
      <c r="C90" s="391">
        <f t="shared" si="3"/>
        <v>0</v>
      </c>
    </row>
    <row r="91" spans="2:3" ht="18" customHeight="1" x14ac:dyDescent="0.2">
      <c r="B91" s="127">
        <v>9</v>
      </c>
      <c r="C91" s="391">
        <f t="shared" si="3"/>
        <v>0</v>
      </c>
    </row>
    <row r="92" spans="2:3" ht="18" customHeight="1" x14ac:dyDescent="0.2">
      <c r="B92" s="127">
        <v>10</v>
      </c>
      <c r="C92" s="391">
        <f t="shared" si="3"/>
        <v>0</v>
      </c>
    </row>
    <row r="93" spans="2:3" ht="18" customHeight="1" x14ac:dyDescent="0.2">
      <c r="B93" s="127">
        <v>11</v>
      </c>
      <c r="C93" s="391">
        <f t="shared" si="3"/>
        <v>0</v>
      </c>
    </row>
    <row r="94" spans="2:3" ht="18" customHeight="1" x14ac:dyDescent="0.2">
      <c r="B94" s="127">
        <v>12</v>
      </c>
      <c r="C94" s="391">
        <f t="shared" si="3"/>
        <v>0</v>
      </c>
    </row>
    <row r="95" spans="2:3" ht="18" customHeight="1" x14ac:dyDescent="0.2">
      <c r="B95" s="127">
        <v>13</v>
      </c>
      <c r="C95" s="391">
        <f t="shared" si="3"/>
        <v>0</v>
      </c>
    </row>
    <row r="96" spans="2:3" ht="18" customHeight="1" x14ac:dyDescent="0.2">
      <c r="B96" s="127">
        <v>14</v>
      </c>
      <c r="C96" s="391">
        <f t="shared" si="3"/>
        <v>0</v>
      </c>
    </row>
    <row r="97" spans="2:3" ht="18" customHeight="1" x14ac:dyDescent="0.2">
      <c r="B97" s="127">
        <v>15</v>
      </c>
      <c r="C97" s="391">
        <f t="shared" si="3"/>
        <v>0</v>
      </c>
    </row>
    <row r="98" spans="2:3" ht="18" customHeight="1" x14ac:dyDescent="0.2">
      <c r="B98" s="127">
        <v>16</v>
      </c>
      <c r="C98" s="391">
        <f t="shared" si="3"/>
        <v>0</v>
      </c>
    </row>
    <row r="99" spans="2:3" ht="18" customHeight="1" x14ac:dyDescent="0.2">
      <c r="B99" s="127">
        <v>17</v>
      </c>
      <c r="C99" s="391">
        <f t="shared" si="3"/>
        <v>0</v>
      </c>
    </row>
    <row r="100" spans="2:3" ht="18" customHeight="1" x14ac:dyDescent="0.2">
      <c r="B100" s="127">
        <v>18</v>
      </c>
      <c r="C100" s="391">
        <f t="shared" si="3"/>
        <v>0</v>
      </c>
    </row>
    <row r="101" spans="2:3" ht="18" customHeight="1" x14ac:dyDescent="0.2">
      <c r="B101" s="127">
        <v>19</v>
      </c>
      <c r="C101" s="391">
        <f t="shared" si="3"/>
        <v>0</v>
      </c>
    </row>
    <row r="102" spans="2:3" ht="18" customHeight="1" x14ac:dyDescent="0.2">
      <c r="B102" s="127">
        <v>20</v>
      </c>
      <c r="C102" s="391">
        <f t="shared" si="3"/>
        <v>0</v>
      </c>
    </row>
    <row r="103" spans="2:3" ht="18" customHeight="1" x14ac:dyDescent="0.2">
      <c r="B103" s="127">
        <v>21</v>
      </c>
      <c r="C103" s="391">
        <f t="shared" si="3"/>
        <v>0</v>
      </c>
    </row>
    <row r="104" spans="2:3" ht="18" customHeight="1" x14ac:dyDescent="0.2">
      <c r="B104" s="127">
        <v>22</v>
      </c>
      <c r="C104" s="391">
        <f t="shared" si="3"/>
        <v>0</v>
      </c>
    </row>
    <row r="105" spans="2:3" ht="18" customHeight="1" x14ac:dyDescent="0.2">
      <c r="B105" s="127">
        <v>23</v>
      </c>
      <c r="C105" s="391">
        <f t="shared" si="3"/>
        <v>0</v>
      </c>
    </row>
    <row r="106" spans="2:3" ht="18" customHeight="1" x14ac:dyDescent="0.2">
      <c r="B106" s="127">
        <v>24</v>
      </c>
      <c r="C106" s="391">
        <f t="shared" si="3"/>
        <v>0</v>
      </c>
    </row>
    <row r="107" spans="2:3" ht="18" customHeight="1" x14ac:dyDescent="0.2">
      <c r="B107" s="127">
        <v>25</v>
      </c>
      <c r="C107" s="391">
        <f t="shared" si="3"/>
        <v>0</v>
      </c>
    </row>
    <row r="108" spans="2:3" ht="18" customHeight="1" x14ac:dyDescent="0.2">
      <c r="B108" s="127">
        <v>26</v>
      </c>
      <c r="C108" s="391">
        <f t="shared" si="3"/>
        <v>0</v>
      </c>
    </row>
    <row r="109" spans="2:3" ht="18" customHeight="1" x14ac:dyDescent="0.2">
      <c r="B109" s="127">
        <v>27</v>
      </c>
      <c r="C109" s="391">
        <f t="shared" si="3"/>
        <v>0</v>
      </c>
    </row>
    <row r="110" spans="2:3" ht="18" customHeight="1" x14ac:dyDescent="0.2">
      <c r="B110" s="127">
        <v>28</v>
      </c>
      <c r="C110" s="391">
        <f t="shared" si="3"/>
        <v>0</v>
      </c>
    </row>
    <row r="111" spans="2:3" ht="18" customHeight="1" x14ac:dyDescent="0.2">
      <c r="B111" s="127">
        <v>29</v>
      </c>
      <c r="C111" s="391">
        <f t="shared" si="3"/>
        <v>0</v>
      </c>
    </row>
    <row r="112" spans="2:3" ht="18" customHeight="1" x14ac:dyDescent="0.2">
      <c r="B112" s="127">
        <v>30</v>
      </c>
      <c r="C112" s="391">
        <f t="shared" si="3"/>
        <v>0</v>
      </c>
    </row>
    <row r="113" spans="2:3" ht="18" customHeight="1" x14ac:dyDescent="0.2">
      <c r="B113" s="127">
        <v>31</v>
      </c>
      <c r="C113" s="391" t="b">
        <f t="shared" si="3"/>
        <v>0</v>
      </c>
    </row>
    <row r="114" spans="2:3" ht="18" customHeight="1" x14ac:dyDescent="0.2">
      <c r="B114" s="127">
        <v>32</v>
      </c>
      <c r="C114" s="391" t="b">
        <f t="shared" si="3"/>
        <v>0</v>
      </c>
    </row>
    <row r="115" spans="2:3" ht="18" customHeight="1" x14ac:dyDescent="0.2">
      <c r="B115" s="127">
        <v>33</v>
      </c>
      <c r="C115" s="391" t="b">
        <f t="shared" si="3"/>
        <v>0</v>
      </c>
    </row>
    <row r="116" spans="2:3" ht="18" customHeight="1" x14ac:dyDescent="0.2">
      <c r="B116" s="127">
        <v>34</v>
      </c>
      <c r="C116" s="391" t="b">
        <f t="shared" si="3"/>
        <v>0</v>
      </c>
    </row>
    <row r="117" spans="2:3" ht="18" customHeight="1" x14ac:dyDescent="0.2">
      <c r="B117" s="127">
        <v>35</v>
      </c>
      <c r="C117" s="391" t="b">
        <f t="shared" si="3"/>
        <v>0</v>
      </c>
    </row>
    <row r="118" spans="2:3" ht="18" customHeight="1" x14ac:dyDescent="0.2">
      <c r="B118" s="127">
        <v>36</v>
      </c>
      <c r="C118" s="391" t="b">
        <f t="shared" si="3"/>
        <v>0</v>
      </c>
    </row>
    <row r="119" spans="2:3" ht="18" customHeight="1" x14ac:dyDescent="0.2">
      <c r="B119" s="127">
        <v>37</v>
      </c>
      <c r="C119" s="391" t="b">
        <f t="shared" si="3"/>
        <v>0</v>
      </c>
    </row>
    <row r="120" spans="2:3" ht="18" customHeight="1" x14ac:dyDescent="0.2">
      <c r="B120" s="127">
        <v>38</v>
      </c>
      <c r="C120" s="391" t="b">
        <f t="shared" si="3"/>
        <v>0</v>
      </c>
    </row>
    <row r="121" spans="2:3" ht="18" customHeight="1" x14ac:dyDescent="0.2">
      <c r="B121" s="127">
        <v>39</v>
      </c>
      <c r="C121" s="391" t="b">
        <f t="shared" si="3"/>
        <v>0</v>
      </c>
    </row>
    <row r="122" spans="2:3" ht="18" customHeight="1" x14ac:dyDescent="0.2">
      <c r="B122" s="127">
        <v>40</v>
      </c>
      <c r="C122" s="391" t="b">
        <f t="shared" si="3"/>
        <v>0</v>
      </c>
    </row>
    <row r="123" spans="2:3" ht="18" customHeight="1" x14ac:dyDescent="0.2">
      <c r="B123" s="127">
        <v>41</v>
      </c>
      <c r="C123" s="391" t="b">
        <f t="shared" si="3"/>
        <v>0</v>
      </c>
    </row>
    <row r="124" spans="2:3" ht="18" customHeight="1" x14ac:dyDescent="0.2">
      <c r="B124" s="127">
        <v>42</v>
      </c>
      <c r="C124" s="391" t="b">
        <f t="shared" si="3"/>
        <v>0</v>
      </c>
    </row>
    <row r="125" spans="2:3" ht="18" customHeight="1" x14ac:dyDescent="0.2">
      <c r="B125" s="127">
        <v>43</v>
      </c>
      <c r="C125" s="391" t="b">
        <f t="shared" si="3"/>
        <v>0</v>
      </c>
    </row>
    <row r="126" spans="2:3" ht="18" customHeight="1" x14ac:dyDescent="0.2">
      <c r="B126" s="127">
        <v>44</v>
      </c>
      <c r="C126" s="391" t="b">
        <f t="shared" si="3"/>
        <v>0</v>
      </c>
    </row>
    <row r="127" spans="2:3" ht="18" customHeight="1" x14ac:dyDescent="0.2">
      <c r="B127" s="127">
        <v>45</v>
      </c>
      <c r="C127" s="391" t="b">
        <f t="shared" si="3"/>
        <v>0</v>
      </c>
    </row>
    <row r="128" spans="2:3" ht="18" customHeight="1" x14ac:dyDescent="0.2">
      <c r="B128" s="127">
        <v>46</v>
      </c>
      <c r="C128" s="391" t="b">
        <f t="shared" si="3"/>
        <v>0</v>
      </c>
    </row>
    <row r="129" spans="2:3" ht="18" customHeight="1" x14ac:dyDescent="0.2">
      <c r="B129" s="127">
        <v>47</v>
      </c>
      <c r="C129" s="391" t="b">
        <f t="shared" si="3"/>
        <v>0</v>
      </c>
    </row>
    <row r="130" spans="2:3" ht="18" customHeight="1" x14ac:dyDescent="0.2">
      <c r="B130" s="127">
        <v>48</v>
      </c>
      <c r="C130" s="391" t="b">
        <f t="shared" si="3"/>
        <v>0</v>
      </c>
    </row>
    <row r="131" spans="2:3" ht="18" customHeight="1" x14ac:dyDescent="0.2">
      <c r="B131" s="127">
        <v>49</v>
      </c>
      <c r="C131" s="391" t="b">
        <f t="shared" si="3"/>
        <v>0</v>
      </c>
    </row>
    <row r="132" spans="2:3" ht="18" customHeight="1" x14ac:dyDescent="0.2">
      <c r="B132" s="127">
        <v>50</v>
      </c>
      <c r="C132" s="391" t="b">
        <f t="shared" si="3"/>
        <v>0</v>
      </c>
    </row>
    <row r="133" spans="2:3" ht="18" customHeight="1" x14ac:dyDescent="0.2">
      <c r="B133" s="127">
        <v>51</v>
      </c>
      <c r="C133" s="391" t="b">
        <f t="shared" si="3"/>
        <v>0</v>
      </c>
    </row>
    <row r="134" spans="2:3" ht="18" customHeight="1" x14ac:dyDescent="0.2">
      <c r="B134" s="127">
        <v>52</v>
      </c>
      <c r="C134" s="391" t="b">
        <f t="shared" si="3"/>
        <v>0</v>
      </c>
    </row>
    <row r="135" spans="2:3" ht="18" customHeight="1" x14ac:dyDescent="0.2">
      <c r="B135" s="127">
        <v>53</v>
      </c>
      <c r="C135" s="391" t="b">
        <f t="shared" si="3"/>
        <v>0</v>
      </c>
    </row>
    <row r="136" spans="2:3" ht="18" customHeight="1" x14ac:dyDescent="0.2">
      <c r="B136" s="127">
        <v>54</v>
      </c>
      <c r="C136" s="391" t="b">
        <f t="shared" si="3"/>
        <v>0</v>
      </c>
    </row>
    <row r="137" spans="2:3" ht="18" customHeight="1" x14ac:dyDescent="0.2">
      <c r="B137" s="127">
        <v>55</v>
      </c>
      <c r="C137" s="391" t="b">
        <f t="shared" si="3"/>
        <v>0</v>
      </c>
    </row>
    <row r="138" spans="2:3" ht="18" customHeight="1" x14ac:dyDescent="0.2">
      <c r="B138" s="127">
        <v>56</v>
      </c>
      <c r="C138" s="391" t="b">
        <f t="shared" si="3"/>
        <v>0</v>
      </c>
    </row>
    <row r="139" spans="2:3" ht="18" customHeight="1" x14ac:dyDescent="0.2">
      <c r="B139" s="127">
        <v>57</v>
      </c>
      <c r="C139" s="391" t="b">
        <f t="shared" si="3"/>
        <v>0</v>
      </c>
    </row>
    <row r="140" spans="2:3" ht="18" customHeight="1" x14ac:dyDescent="0.2">
      <c r="B140" s="127">
        <v>58</v>
      </c>
      <c r="C140" s="391" t="b">
        <f t="shared" si="3"/>
        <v>0</v>
      </c>
    </row>
    <row r="141" spans="2:3" ht="18" customHeight="1" x14ac:dyDescent="0.2">
      <c r="B141" s="127">
        <v>59</v>
      </c>
      <c r="C141" s="391" t="b">
        <f t="shared" si="3"/>
        <v>0</v>
      </c>
    </row>
    <row r="142" spans="2:3" ht="18" customHeight="1" x14ac:dyDescent="0.2">
      <c r="B142" s="127">
        <v>60</v>
      </c>
      <c r="C142" s="391" t="b">
        <f t="shared" si="3"/>
        <v>0</v>
      </c>
    </row>
    <row r="143" spans="2:3" ht="18" customHeight="1" x14ac:dyDescent="0.2">
      <c r="B143" s="127">
        <v>61</v>
      </c>
      <c r="C143" s="391" t="b">
        <f t="shared" si="3"/>
        <v>0</v>
      </c>
    </row>
    <row r="144" spans="2:3" ht="18" customHeight="1" x14ac:dyDescent="0.2">
      <c r="B144" s="127">
        <v>62</v>
      </c>
      <c r="C144" s="391" t="b">
        <f t="shared" si="3"/>
        <v>0</v>
      </c>
    </row>
    <row r="145" spans="2:3" ht="18" customHeight="1" x14ac:dyDescent="0.2">
      <c r="B145" s="127">
        <v>63</v>
      </c>
      <c r="C145" s="391" t="b">
        <f t="shared" si="3"/>
        <v>0</v>
      </c>
    </row>
    <row r="146" spans="2:3" ht="18" customHeight="1" x14ac:dyDescent="0.2">
      <c r="B146" s="127">
        <v>64</v>
      </c>
      <c r="C146" s="391" t="b">
        <f t="shared" si="3"/>
        <v>0</v>
      </c>
    </row>
    <row r="147" spans="2:3" ht="18" customHeight="1" x14ac:dyDescent="0.2">
      <c r="B147" s="127">
        <v>65</v>
      </c>
      <c r="C147" s="391" t="b">
        <f t="shared" si="3"/>
        <v>0</v>
      </c>
    </row>
    <row r="148" spans="2:3" ht="18" customHeight="1" x14ac:dyDescent="0.2">
      <c r="B148" s="127">
        <v>66</v>
      </c>
      <c r="C148" s="391" t="b">
        <f t="shared" ref="C148:C152" si="4">IF(B148&lt;=$C$27,$C$26,FALSE)</f>
        <v>0</v>
      </c>
    </row>
    <row r="149" spans="2:3" ht="18" customHeight="1" x14ac:dyDescent="0.2">
      <c r="B149" s="127">
        <v>67</v>
      </c>
      <c r="C149" s="391" t="b">
        <f t="shared" si="4"/>
        <v>0</v>
      </c>
    </row>
    <row r="150" spans="2:3" ht="18" customHeight="1" x14ac:dyDescent="0.2">
      <c r="B150" s="127">
        <v>68</v>
      </c>
      <c r="C150" s="391" t="b">
        <f t="shared" si="4"/>
        <v>0</v>
      </c>
    </row>
    <row r="151" spans="2:3" ht="18" customHeight="1" x14ac:dyDescent="0.2">
      <c r="B151" s="127">
        <v>69</v>
      </c>
      <c r="C151" s="391" t="b">
        <f t="shared" si="4"/>
        <v>0</v>
      </c>
    </row>
    <row r="152" spans="2:3" ht="18" customHeight="1" thickBot="1" x14ac:dyDescent="0.25">
      <c r="B152" s="390">
        <v>70</v>
      </c>
      <c r="C152" s="392" t="b">
        <f t="shared" si="4"/>
        <v>0</v>
      </c>
    </row>
    <row r="153" spans="2:3" ht="18" customHeight="1" x14ac:dyDescent="0.2">
      <c r="B153" s="99"/>
    </row>
    <row r="154" spans="2:3" ht="18" customHeight="1" x14ac:dyDescent="0.2">
      <c r="B154" s="99"/>
    </row>
    <row r="155" spans="2:3" ht="18" customHeight="1" x14ac:dyDescent="0.2">
      <c r="B155" s="99"/>
    </row>
    <row r="156" spans="2:3" ht="18" customHeight="1" x14ac:dyDescent="0.2">
      <c r="B156" s="99"/>
    </row>
    <row r="157" spans="2:3" ht="18" customHeight="1" x14ac:dyDescent="0.2">
      <c r="B157" s="99"/>
    </row>
    <row r="158" spans="2:3" ht="18" customHeight="1" x14ac:dyDescent="0.2">
      <c r="B158" s="99"/>
    </row>
    <row r="159" spans="2:3" ht="18" customHeight="1" x14ac:dyDescent="0.2">
      <c r="B159" s="99"/>
    </row>
    <row r="160" spans="2:3" ht="18" customHeight="1" x14ac:dyDescent="0.2">
      <c r="B160" s="99"/>
    </row>
    <row r="161" spans="2:2" ht="18" customHeight="1" x14ac:dyDescent="0.2">
      <c r="B161" s="99"/>
    </row>
    <row r="162" spans="2:2" ht="18" customHeight="1" x14ac:dyDescent="0.2">
      <c r="B162" s="99"/>
    </row>
    <row r="163" spans="2:2" ht="18" customHeight="1" x14ac:dyDescent="0.2">
      <c r="B163" s="99"/>
    </row>
    <row r="164" spans="2:2" ht="18" customHeight="1" x14ac:dyDescent="0.2">
      <c r="B164" s="99"/>
    </row>
    <row r="165" spans="2:2" ht="18" customHeight="1" x14ac:dyDescent="0.2">
      <c r="B165" s="99"/>
    </row>
    <row r="166" spans="2:2" ht="18" customHeight="1" x14ac:dyDescent="0.2">
      <c r="B166" s="99"/>
    </row>
    <row r="167" spans="2:2" ht="18" customHeight="1" x14ac:dyDescent="0.2">
      <c r="B167" s="99"/>
    </row>
    <row r="168" spans="2:2" ht="18" customHeight="1" x14ac:dyDescent="0.2">
      <c r="B168" s="99"/>
    </row>
  </sheetData>
  <sheetProtection selectLockedCells="1"/>
  <mergeCells count="5">
    <mergeCell ref="B2:C2"/>
    <mergeCell ref="B42:E42"/>
    <mergeCell ref="B51:E51"/>
    <mergeCell ref="E4:F4"/>
    <mergeCell ref="B80:C80"/>
  </mergeCells>
  <phoneticPr fontId="38" type="noConversion"/>
  <pageMargins left="0.7" right="0.7" top="0.75" bottom="0.75" header="0.3" footer="0.3"/>
  <pageSetup scale="60" fitToHeight="0" orientation="landscape" r:id="rId1"/>
  <ignoredErrors>
    <ignoredError sqref="E58:E60" evalError="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S121"/>
  <sheetViews>
    <sheetView showGridLines="0" zoomScaleNormal="100" workbookViewId="0">
      <pane ySplit="2" topLeftCell="A32" activePane="bottomLeft" state="frozen"/>
      <selection pane="bottomLeft" activeCell="H51" sqref="H51"/>
    </sheetView>
  </sheetViews>
  <sheetFormatPr baseColWidth="10" defaultColWidth="9.1640625" defaultRowHeight="16" x14ac:dyDescent="0.2"/>
  <cols>
    <col min="1" max="1" width="3.33203125" style="45" customWidth="1"/>
    <col min="2" max="2" width="43" style="45" customWidth="1"/>
    <col min="3" max="5" width="15.33203125" style="45" customWidth="1"/>
    <col min="6" max="6" width="7.33203125" style="45" customWidth="1"/>
    <col min="7" max="7" width="36.6640625" style="45" customWidth="1"/>
    <col min="8" max="8" width="16.6640625" style="45" customWidth="1"/>
    <col min="9" max="9" width="10.1640625" style="45" customWidth="1"/>
    <col min="10" max="10" width="36.6640625" style="45" customWidth="1"/>
    <col min="11" max="11" width="16.6640625" style="45" customWidth="1"/>
    <col min="12" max="12" width="26" style="45" customWidth="1"/>
    <col min="13" max="14" width="9.1640625" style="45"/>
    <col min="15" max="16" width="19" style="45" customWidth="1"/>
    <col min="17" max="17" width="4.6640625" style="45" customWidth="1"/>
    <col min="18" max="19" width="19" style="45" customWidth="1"/>
    <col min="20" max="16384" width="9.1640625" style="45"/>
  </cols>
  <sheetData>
    <row r="1" spans="1:11" ht="10" customHeight="1" thickBot="1" x14ac:dyDescent="0.25"/>
    <row r="2" spans="1:11" ht="27" thickBot="1" x14ac:dyDescent="0.35">
      <c r="B2" s="769" t="s">
        <v>102</v>
      </c>
      <c r="C2" s="705"/>
      <c r="D2" s="706"/>
      <c r="F2" s="602" t="s">
        <v>344</v>
      </c>
      <c r="G2" s="602"/>
      <c r="H2" s="602"/>
      <c r="I2" s="400"/>
    </row>
    <row r="3" spans="1:11" s="11" customFormat="1" ht="18" customHeight="1" thickBot="1" x14ac:dyDescent="0.25"/>
    <row r="4" spans="1:11" s="11" customFormat="1" ht="18" customHeight="1" x14ac:dyDescent="0.2">
      <c r="A4" s="21"/>
      <c r="B4" s="397"/>
      <c r="C4" s="397"/>
      <c r="D4" s="397"/>
      <c r="E4" s="397"/>
      <c r="F4" s="399"/>
      <c r="G4" s="749" t="s">
        <v>385</v>
      </c>
      <c r="H4" s="86"/>
      <c r="I4" s="86"/>
    </row>
    <row r="5" spans="1:11" s="11" customFormat="1" ht="18" customHeight="1" thickBot="1" x14ac:dyDescent="0.25">
      <c r="A5" s="21"/>
      <c r="B5" s="397"/>
      <c r="C5" s="397"/>
      <c r="D5" s="397"/>
      <c r="E5" s="397"/>
      <c r="F5" s="399"/>
      <c r="G5" s="750"/>
      <c r="H5" s="185"/>
      <c r="I5" s="185"/>
      <c r="J5" s="737"/>
      <c r="K5" s="737"/>
    </row>
    <row r="6" spans="1:11" s="11" customFormat="1" ht="18" customHeight="1" thickBot="1" x14ac:dyDescent="0.25">
      <c r="A6" s="21"/>
      <c r="B6" s="397"/>
      <c r="C6" s="397"/>
      <c r="D6" s="397"/>
      <c r="E6" s="397"/>
      <c r="F6" s="399"/>
      <c r="G6" s="411"/>
      <c r="H6" s="185"/>
      <c r="I6" s="185"/>
      <c r="J6" s="410"/>
      <c r="K6" s="410"/>
    </row>
    <row r="7" spans="1:11" s="11" customFormat="1" ht="18" customHeight="1" thickBot="1" x14ac:dyDescent="0.25">
      <c r="A7" s="21"/>
      <c r="B7" s="397"/>
      <c r="C7" s="397"/>
      <c r="D7" s="397"/>
      <c r="E7" s="397"/>
      <c r="F7" s="399"/>
      <c r="G7" s="738" t="s">
        <v>334</v>
      </c>
      <c r="H7" s="739"/>
      <c r="I7" s="78"/>
      <c r="J7" s="738" t="s">
        <v>335</v>
      </c>
      <c r="K7" s="739"/>
    </row>
    <row r="8" spans="1:11" s="11" customFormat="1" ht="18" customHeight="1" x14ac:dyDescent="0.2">
      <c r="B8" s="397"/>
      <c r="C8" s="397"/>
      <c r="D8" s="397"/>
      <c r="E8" s="397"/>
      <c r="G8" s="415" t="s">
        <v>266</v>
      </c>
      <c r="H8" s="416">
        <f>'Business Analysis'!C6</f>
        <v>0</v>
      </c>
      <c r="I8" s="78"/>
      <c r="J8" s="417" t="s">
        <v>266</v>
      </c>
      <c r="K8" s="418">
        <f>'Business Analysis'!F6</f>
        <v>0</v>
      </c>
    </row>
    <row r="9" spans="1:11" s="11" customFormat="1" ht="18" customHeight="1" x14ac:dyDescent="0.2">
      <c r="B9" s="397"/>
      <c r="C9" s="397"/>
      <c r="D9" s="397"/>
      <c r="E9" s="397"/>
      <c r="G9" s="412" t="s">
        <v>267</v>
      </c>
      <c r="H9" s="339">
        <f>'Business Analysis'!C7</f>
        <v>0</v>
      </c>
      <c r="I9" s="78"/>
      <c r="J9" s="187" t="s">
        <v>267</v>
      </c>
      <c r="K9" s="188">
        <f>'Business Analysis'!F7</f>
        <v>0</v>
      </c>
    </row>
    <row r="10" spans="1:11" s="11" customFormat="1" ht="18" customHeight="1" x14ac:dyDescent="0.2">
      <c r="B10" s="397"/>
      <c r="C10" s="397"/>
      <c r="D10" s="397"/>
      <c r="E10" s="397"/>
      <c r="G10" s="412" t="s">
        <v>343</v>
      </c>
      <c r="H10" s="339">
        <f>'Business Analysis'!C8</f>
        <v>0</v>
      </c>
      <c r="I10" s="78"/>
      <c r="J10" s="187" t="s">
        <v>343</v>
      </c>
      <c r="K10" s="188">
        <f>'Business Analysis'!F8</f>
        <v>0</v>
      </c>
    </row>
    <row r="11" spans="1:11" s="11" customFormat="1" ht="18" customHeight="1" thickBot="1" x14ac:dyDescent="0.25">
      <c r="B11" s="397"/>
      <c r="C11" s="397"/>
      <c r="D11" s="397"/>
      <c r="E11" s="397"/>
      <c r="G11" s="412"/>
      <c r="H11" s="339"/>
      <c r="I11" s="78"/>
      <c r="J11" s="341" t="s">
        <v>342</v>
      </c>
      <c r="K11" s="188">
        <f>'Business Analysis'!F9</f>
        <v>0</v>
      </c>
    </row>
    <row r="12" spans="1:11" s="11" customFormat="1" ht="18" customHeight="1" thickBot="1" x14ac:dyDescent="0.25">
      <c r="B12" s="763" t="str">
        <f>"Crop 1: "&amp;'Cut Flower 1'!F9</f>
        <v>Crop 1: write crop name here</v>
      </c>
      <c r="C12" s="764"/>
      <c r="D12" s="764"/>
      <c r="E12" s="765"/>
      <c r="G12" s="413" t="s">
        <v>268</v>
      </c>
      <c r="H12" s="314">
        <f>'Business Analysis'!C10</f>
        <v>0</v>
      </c>
      <c r="I12" s="78"/>
      <c r="J12" s="313" t="s">
        <v>268</v>
      </c>
      <c r="K12" s="314">
        <f>'Business Analysis'!F10</f>
        <v>0</v>
      </c>
    </row>
    <row r="13" spans="1:11" s="11" customFormat="1" ht="18" customHeight="1" x14ac:dyDescent="0.2">
      <c r="B13" s="407"/>
      <c r="C13" s="408" t="s">
        <v>380</v>
      </c>
      <c r="D13" s="408" t="s">
        <v>381</v>
      </c>
      <c r="E13" s="409" t="s">
        <v>382</v>
      </c>
      <c r="G13" s="413" t="s">
        <v>386</v>
      </c>
      <c r="H13" s="395">
        <f>'Business Analysis'!C11</f>
        <v>0</v>
      </c>
      <c r="I13" s="78"/>
      <c r="J13" s="313" t="s">
        <v>386</v>
      </c>
      <c r="K13" s="395">
        <f>'Business Analysis'!F11</f>
        <v>0</v>
      </c>
    </row>
    <row r="14" spans="1:11" s="11" customFormat="1" ht="18" customHeight="1" x14ac:dyDescent="0.2">
      <c r="B14" s="109" t="s">
        <v>233</v>
      </c>
      <c r="C14" s="522">
        <f>'Project Yield'!C8</f>
        <v>0</v>
      </c>
      <c r="D14" s="502">
        <v>0</v>
      </c>
      <c r="E14" s="577">
        <v>0</v>
      </c>
      <c r="G14" s="412" t="s">
        <v>279</v>
      </c>
      <c r="H14" s="339">
        <f>'Business Analysis'!C12</f>
        <v>0</v>
      </c>
      <c r="I14" s="78"/>
      <c r="J14" s="187" t="s">
        <v>279</v>
      </c>
      <c r="K14" s="188">
        <f>'Business Analysis'!F12</f>
        <v>0</v>
      </c>
    </row>
    <row r="15" spans="1:11" s="11" customFormat="1" ht="18" customHeight="1" x14ac:dyDescent="0.2">
      <c r="B15" s="109" t="s">
        <v>384</v>
      </c>
      <c r="C15" s="403">
        <f>IFERROR('Project Income'!G48/'Project Income'!G47,0)</f>
        <v>0</v>
      </c>
      <c r="D15" s="491">
        <v>0</v>
      </c>
      <c r="E15" s="579">
        <v>0</v>
      </c>
      <c r="G15" s="412" t="s">
        <v>269</v>
      </c>
      <c r="H15" s="339">
        <f>'Business Analysis'!C13</f>
        <v>0</v>
      </c>
      <c r="I15" s="78"/>
      <c r="J15" s="187" t="s">
        <v>269</v>
      </c>
      <c r="K15" s="188">
        <f>'Business Analysis'!F13</f>
        <v>0</v>
      </c>
    </row>
    <row r="16" spans="1:11" s="11" customFormat="1" ht="18" customHeight="1" x14ac:dyDescent="0.2">
      <c r="B16" s="109" t="s">
        <v>233</v>
      </c>
      <c r="C16" s="522">
        <f>'Project Yield'!C11</f>
        <v>0</v>
      </c>
      <c r="D16" s="522">
        <f>IFERROR(C16*($D$14/$C$14),0)</f>
        <v>0</v>
      </c>
      <c r="E16" s="578">
        <f>IFERROR(C16*($E$14/$C$14),0)</f>
        <v>0</v>
      </c>
      <c r="G16" s="412" t="s">
        <v>270</v>
      </c>
      <c r="H16" s="339">
        <f>'Business Analysis'!C14</f>
        <v>0</v>
      </c>
      <c r="I16" s="78"/>
      <c r="J16" s="187" t="s">
        <v>270</v>
      </c>
      <c r="K16" s="188">
        <f>'Business Analysis'!F14</f>
        <v>0</v>
      </c>
    </row>
    <row r="17" spans="1:11" s="11" customFormat="1" ht="18" customHeight="1" x14ac:dyDescent="0.2">
      <c r="B17" s="109" t="str">
        <f>"Total Yield (" &amp; 'Project Yield'!D13 &amp;")"</f>
        <v>Total Yield (stem, bouquet, lbs, bucket, jar)</v>
      </c>
      <c r="C17" s="522">
        <f>'Project Yield'!C13</f>
        <v>0</v>
      </c>
      <c r="D17" s="522">
        <f>IFERROR(C17*($D$14/$C$14),0)</f>
        <v>0</v>
      </c>
      <c r="E17" s="578">
        <f>IFERROR(C17*($E$14/$C$14),0)</f>
        <v>0</v>
      </c>
      <c r="G17" s="412" t="s">
        <v>271</v>
      </c>
      <c r="H17" s="339">
        <f>'Business Analysis'!C15</f>
        <v>0</v>
      </c>
      <c r="I17" s="78"/>
      <c r="J17" s="187" t="s">
        <v>271</v>
      </c>
      <c r="K17" s="188">
        <f>'Business Analysis'!F15</f>
        <v>0</v>
      </c>
    </row>
    <row r="18" spans="1:11" s="11" customFormat="1" ht="18" customHeight="1" x14ac:dyDescent="0.2">
      <c r="B18" s="127" t="s">
        <v>14</v>
      </c>
      <c r="C18" s="403">
        <f>'All Cut Flowers Assessment'!C17</f>
        <v>0</v>
      </c>
      <c r="D18" s="403">
        <f>IFERROR(C18*($D$14/$C$14)*($D$15/$C$15),0)</f>
        <v>0</v>
      </c>
      <c r="E18" s="391">
        <f>IFERROR(C18*($E$14/$C$14)*($E$15/$C$15),0)</f>
        <v>0</v>
      </c>
      <c r="G18" s="413" t="s">
        <v>273</v>
      </c>
      <c r="H18" s="314">
        <f>'Business Analysis'!C16</f>
        <v>0</v>
      </c>
      <c r="I18" s="78"/>
      <c r="J18" s="313" t="s">
        <v>273</v>
      </c>
      <c r="K18" s="314">
        <f>'Business Analysis'!F16</f>
        <v>0</v>
      </c>
    </row>
    <row r="19" spans="1:11" s="11" customFormat="1" ht="18" customHeight="1" x14ac:dyDescent="0.2">
      <c r="B19" s="127" t="s">
        <v>383</v>
      </c>
      <c r="C19" s="403">
        <f>'All Cut Flowers Assessment'!C18</f>
        <v>0</v>
      </c>
      <c r="D19" s="403">
        <f>IFERROR(C19/$C$14*$D$14,0)</f>
        <v>0</v>
      </c>
      <c r="E19" s="391">
        <f>IFERROR(C19/$C$14*$E$14,0)</f>
        <v>0</v>
      </c>
      <c r="G19" s="413" t="s">
        <v>272</v>
      </c>
      <c r="H19" s="395">
        <f>'Business Analysis'!C17</f>
        <v>0</v>
      </c>
      <c r="I19" s="78"/>
      <c r="J19" s="313" t="s">
        <v>272</v>
      </c>
      <c r="K19" s="395">
        <f>'Business Analysis'!F17</f>
        <v>0</v>
      </c>
    </row>
    <row r="20" spans="1:11" s="11" customFormat="1" ht="18" customHeight="1" x14ac:dyDescent="0.2">
      <c r="B20" s="404" t="s">
        <v>254</v>
      </c>
      <c r="C20" s="534">
        <f>C18-C19</f>
        <v>0</v>
      </c>
      <c r="D20" s="534">
        <f t="shared" ref="D20:E20" si="0">D18-D19</f>
        <v>0</v>
      </c>
      <c r="E20" s="535">
        <f t="shared" si="0"/>
        <v>0</v>
      </c>
      <c r="G20" s="412" t="s">
        <v>274</v>
      </c>
      <c r="H20" s="339">
        <f>'Business Analysis'!C18</f>
        <v>0</v>
      </c>
      <c r="I20" s="78"/>
      <c r="J20" s="187" t="s">
        <v>274</v>
      </c>
      <c r="K20" s="188">
        <f>'Business Analysis'!F18</f>
        <v>0</v>
      </c>
    </row>
    <row r="21" spans="1:11" s="11" customFormat="1" ht="18" customHeight="1" thickBot="1" x14ac:dyDescent="0.25">
      <c r="A21" s="21"/>
      <c r="B21" s="176" t="s">
        <v>19</v>
      </c>
      <c r="C21" s="405">
        <f>IFERROR(C20/C18,0)</f>
        <v>0</v>
      </c>
      <c r="D21" s="405">
        <f t="shared" ref="D21:E21" si="1">IFERROR(D20/D18,0)</f>
        <v>0</v>
      </c>
      <c r="E21" s="406">
        <f t="shared" si="1"/>
        <v>0</v>
      </c>
      <c r="G21" s="413" t="s">
        <v>275</v>
      </c>
      <c r="H21" s="314">
        <f>'Business Analysis'!C19</f>
        <v>0</v>
      </c>
      <c r="I21" s="78"/>
      <c r="J21" s="313" t="s">
        <v>275</v>
      </c>
      <c r="K21" s="314">
        <f>'Business Analysis'!F19</f>
        <v>0</v>
      </c>
    </row>
    <row r="22" spans="1:11" s="11" customFormat="1" ht="18" customHeight="1" thickBot="1" x14ac:dyDescent="0.25">
      <c r="B22" s="21"/>
      <c r="C22" s="398"/>
      <c r="D22" s="398"/>
      <c r="E22" s="398"/>
      <c r="G22" s="412" t="s">
        <v>276</v>
      </c>
      <c r="H22" s="339">
        <f>'Business Analysis'!C20</f>
        <v>0</v>
      </c>
      <c r="I22" s="78"/>
      <c r="J22" s="187" t="s">
        <v>276</v>
      </c>
      <c r="K22" s="188">
        <f>'Business Analysis'!F20</f>
        <v>0</v>
      </c>
    </row>
    <row r="23" spans="1:11" s="11" customFormat="1" ht="18" customHeight="1" thickBot="1" x14ac:dyDescent="0.25">
      <c r="B23" s="740" t="str">
        <f>"Crop 2: "&amp;'Cut Flower 2'!B2</f>
        <v>Crop 2: write name here</v>
      </c>
      <c r="C23" s="741"/>
      <c r="D23" s="741"/>
      <c r="E23" s="742"/>
      <c r="G23" s="412" t="s">
        <v>341</v>
      </c>
      <c r="H23" s="581">
        <f>'Business Analysis'!C21</f>
        <v>0.1</v>
      </c>
      <c r="I23" s="78"/>
      <c r="J23" s="187" t="s">
        <v>341</v>
      </c>
      <c r="K23" s="580">
        <f>'Business Analysis'!F21</f>
        <v>0.1</v>
      </c>
    </row>
    <row r="24" spans="1:11" s="11" customFormat="1" ht="18" customHeight="1" x14ac:dyDescent="0.2">
      <c r="B24" s="407"/>
      <c r="C24" s="408" t="s">
        <v>380</v>
      </c>
      <c r="D24" s="408" t="s">
        <v>381</v>
      </c>
      <c r="E24" s="409" t="s">
        <v>382</v>
      </c>
      <c r="G24" s="413" t="s">
        <v>277</v>
      </c>
      <c r="H24" s="314">
        <f>'Business Analysis'!C22</f>
        <v>0</v>
      </c>
      <c r="I24" s="78"/>
      <c r="J24" s="313" t="s">
        <v>277</v>
      </c>
      <c r="K24" s="314">
        <f>'Business Analysis'!F22</f>
        <v>0</v>
      </c>
    </row>
    <row r="25" spans="1:11" s="11" customFormat="1" ht="18" customHeight="1" thickBot="1" x14ac:dyDescent="0.25">
      <c r="B25" s="109" t="s">
        <v>233</v>
      </c>
      <c r="C25" s="522">
        <f>'Cut Flower 2'!C54</f>
        <v>0</v>
      </c>
      <c r="D25" s="502">
        <v>0</v>
      </c>
      <c r="E25" s="577">
        <v>0</v>
      </c>
      <c r="G25" s="414" t="s">
        <v>278</v>
      </c>
      <c r="H25" s="396">
        <f>'Business Analysis'!C23</f>
        <v>0</v>
      </c>
      <c r="I25" s="78"/>
      <c r="J25" s="315" t="s">
        <v>278</v>
      </c>
      <c r="K25" s="396">
        <f>'Business Analysis'!F23</f>
        <v>0</v>
      </c>
    </row>
    <row r="26" spans="1:11" s="11" customFormat="1" ht="18" customHeight="1" thickBot="1" x14ac:dyDescent="0.25">
      <c r="B26" s="109" t="s">
        <v>384</v>
      </c>
      <c r="C26" s="403">
        <f>IFERROR('Cut Flower 2'!G48/'Cut Flower 2'!G47,0)</f>
        <v>0</v>
      </c>
      <c r="D26" s="491">
        <v>0</v>
      </c>
      <c r="E26" s="579">
        <v>0</v>
      </c>
      <c r="G26" s="327"/>
      <c r="H26" s="328"/>
      <c r="I26" s="78"/>
      <c r="J26" s="327"/>
      <c r="K26" s="328"/>
    </row>
    <row r="27" spans="1:11" s="11" customFormat="1" ht="18" customHeight="1" x14ac:dyDescent="0.2">
      <c r="B27" s="109" t="s">
        <v>233</v>
      </c>
      <c r="C27" s="522">
        <f>'Cut Flower 2'!C57</f>
        <v>0</v>
      </c>
      <c r="D27" s="522">
        <f>IFERROR(C27*($D$25/$C$25),0)</f>
        <v>0</v>
      </c>
      <c r="E27" s="578">
        <f>IFERROR(C27*($E$25/$C$25),0)</f>
        <v>0</v>
      </c>
      <c r="G27" s="419" t="s">
        <v>370</v>
      </c>
      <c r="H27" s="387">
        <f>'Business Analysis'!C25</f>
        <v>0</v>
      </c>
      <c r="I27" s="157"/>
      <c r="J27" s="327"/>
      <c r="K27" s="328"/>
    </row>
    <row r="28" spans="1:11" s="11" customFormat="1" ht="18" customHeight="1" x14ac:dyDescent="0.2">
      <c r="B28" s="109" t="str">
        <f>"Total Yield (" &amp; 'Cut Flower 2'!D6 &amp;")"</f>
        <v>Total Yield (stem, bouquet, lbs, bucket, jar)</v>
      </c>
      <c r="C28" s="522">
        <f>'Cut Flower 2'!C59</f>
        <v>0</v>
      </c>
      <c r="D28" s="522">
        <f>IFERROR(C28*($D$25/$C$25),0)</f>
        <v>0</v>
      </c>
      <c r="E28" s="578">
        <f>IFERROR(C28*($E$25/$C$25),0)</f>
        <v>0</v>
      </c>
      <c r="G28" s="420" t="s">
        <v>371</v>
      </c>
      <c r="H28" s="389">
        <f>'Business Analysis'!C26</f>
        <v>0</v>
      </c>
      <c r="I28" s="157"/>
      <c r="J28" s="327"/>
      <c r="K28" s="328"/>
    </row>
    <row r="29" spans="1:11" s="11" customFormat="1" ht="18" customHeight="1" x14ac:dyDescent="0.2">
      <c r="B29" s="127" t="s">
        <v>14</v>
      </c>
      <c r="C29" s="403">
        <f>'All Cut Flowers Assessment'!F17</f>
        <v>0</v>
      </c>
      <c r="D29" s="403">
        <f>IFERROR(C29*($D$25/$C$25)*($D$26/$C$26),0)</f>
        <v>0</v>
      </c>
      <c r="E29" s="391">
        <f>IFERROR(C29*($E$25/$C$25)*($E$26/$C$26),0)</f>
        <v>0</v>
      </c>
      <c r="G29" s="420" t="s">
        <v>363</v>
      </c>
      <c r="H29" s="422">
        <f>'Business Analysis'!C27</f>
        <v>30</v>
      </c>
      <c r="I29" s="157"/>
      <c r="J29" s="327"/>
      <c r="K29" s="328"/>
    </row>
    <row r="30" spans="1:11" s="11" customFormat="1" ht="18" customHeight="1" x14ac:dyDescent="0.2">
      <c r="B30" s="127" t="s">
        <v>383</v>
      </c>
      <c r="C30" s="403">
        <f>'All Cut Flowers Assessment'!F18</f>
        <v>0</v>
      </c>
      <c r="D30" s="403">
        <f>IFERROR(C30*($D$25/$C$25),0)</f>
        <v>0</v>
      </c>
      <c r="E30" s="391">
        <f>IFERROR(C30*($E$25/$C$25),0)</f>
        <v>0</v>
      </c>
      <c r="G30" s="420" t="s">
        <v>367</v>
      </c>
      <c r="H30" s="581">
        <f>'Business Analysis'!C28</f>
        <v>0.05</v>
      </c>
      <c r="I30" s="157"/>
      <c r="J30" s="327"/>
      <c r="K30" s="328"/>
    </row>
    <row r="31" spans="1:11" s="11" customFormat="1" ht="18" customHeight="1" x14ac:dyDescent="0.2">
      <c r="B31" s="404" t="s">
        <v>254</v>
      </c>
      <c r="C31" s="534">
        <f>C29-C30</f>
        <v>0</v>
      </c>
      <c r="D31" s="534">
        <f t="shared" ref="D31" si="2">D29-D30</f>
        <v>0</v>
      </c>
      <c r="E31" s="535">
        <f t="shared" ref="E31" si="3">E29-E30</f>
        <v>0</v>
      </c>
      <c r="G31" s="413" t="s">
        <v>369</v>
      </c>
      <c r="H31" s="423">
        <f>'Business Analysis'!C29</f>
        <v>0</v>
      </c>
      <c r="I31" s="157"/>
      <c r="J31" s="327"/>
      <c r="K31" s="328"/>
    </row>
    <row r="32" spans="1:11" s="11" customFormat="1" ht="18" customHeight="1" thickBot="1" x14ac:dyDescent="0.25">
      <c r="B32" s="176" t="s">
        <v>19</v>
      </c>
      <c r="C32" s="405">
        <f>IFERROR(C31/C29,0)</f>
        <v>0</v>
      </c>
      <c r="D32" s="405">
        <f t="shared" ref="D32" si="4">IFERROR(D31/D29,0)</f>
        <v>0</v>
      </c>
      <c r="E32" s="406">
        <f t="shared" ref="E32" si="5">IFERROR(E31/E29,0)</f>
        <v>0</v>
      </c>
      <c r="G32" s="413" t="s">
        <v>364</v>
      </c>
      <c r="H32" s="421">
        <f>'Business Analysis'!C30</f>
        <v>0</v>
      </c>
      <c r="I32" s="157"/>
      <c r="J32" s="327"/>
      <c r="K32" s="328"/>
    </row>
    <row r="33" spans="2:19" s="11" customFormat="1" ht="18" customHeight="1" thickBot="1" x14ac:dyDescent="0.25">
      <c r="C33" s="398"/>
      <c r="D33" s="398"/>
      <c r="E33" s="398"/>
      <c r="G33" s="413" t="s">
        <v>365</v>
      </c>
      <c r="H33" s="582">
        <f>'Business Analysis'!C31</f>
        <v>0</v>
      </c>
      <c r="I33" s="157"/>
      <c r="J33" s="327"/>
      <c r="K33" s="328"/>
    </row>
    <row r="34" spans="2:19" s="11" customFormat="1" ht="18" customHeight="1" thickBot="1" x14ac:dyDescent="0.25">
      <c r="B34" s="743" t="str">
        <f>"Crop 3: "&amp;'Cut Flower 3'!B13</f>
        <v>Crop 3: write name here</v>
      </c>
      <c r="C34" s="744"/>
      <c r="D34" s="744"/>
      <c r="E34" s="745"/>
      <c r="G34" s="414" t="s">
        <v>366</v>
      </c>
      <c r="H34" s="424">
        <f>'Business Analysis'!C32</f>
        <v>0</v>
      </c>
      <c r="I34" s="157"/>
      <c r="J34" s="327"/>
      <c r="K34" s="328"/>
    </row>
    <row r="35" spans="2:19" s="11" customFormat="1" ht="18" customHeight="1" x14ac:dyDescent="0.2">
      <c r="B35" s="407"/>
      <c r="C35" s="408" t="s">
        <v>380</v>
      </c>
      <c r="D35" s="408" t="s">
        <v>381</v>
      </c>
      <c r="E35" s="409" t="s">
        <v>382</v>
      </c>
      <c r="G35" s="383"/>
      <c r="H35" s="384"/>
      <c r="I35" s="157"/>
      <c r="J35" s="327"/>
      <c r="K35" s="328"/>
    </row>
    <row r="36" spans="2:19" s="11" customFormat="1" ht="18" customHeight="1" thickBot="1" x14ac:dyDescent="0.25">
      <c r="B36" s="109" t="s">
        <v>233</v>
      </c>
      <c r="C36" s="522">
        <f>'Cut Flower 3'!C54</f>
        <v>0</v>
      </c>
      <c r="D36" s="502">
        <v>0</v>
      </c>
      <c r="E36" s="577">
        <v>0</v>
      </c>
      <c r="G36" s="383"/>
      <c r="H36" s="385"/>
      <c r="I36" s="157"/>
      <c r="J36" s="327"/>
      <c r="K36" s="328"/>
    </row>
    <row r="37" spans="2:19" s="11" customFormat="1" ht="18" customHeight="1" thickBot="1" x14ac:dyDescent="0.25">
      <c r="B37" s="109" t="s">
        <v>384</v>
      </c>
      <c r="C37" s="403">
        <f>IFERROR('Cut Flower 3'!G48/'Cut Flower 3'!G47,0)</f>
        <v>0</v>
      </c>
      <c r="D37" s="491">
        <v>0</v>
      </c>
      <c r="E37" s="579">
        <v>0</v>
      </c>
      <c r="G37" s="749" t="s">
        <v>381</v>
      </c>
      <c r="H37" s="86"/>
      <c r="I37" s="86"/>
      <c r="O37" s="735" t="s">
        <v>389</v>
      </c>
      <c r="P37" s="736"/>
      <c r="R37" s="735" t="s">
        <v>390</v>
      </c>
      <c r="S37" s="736"/>
    </row>
    <row r="38" spans="2:19" s="11" customFormat="1" ht="18" customHeight="1" thickBot="1" x14ac:dyDescent="0.25">
      <c r="B38" s="109" t="s">
        <v>233</v>
      </c>
      <c r="C38" s="522">
        <f>'Cut Flower 3'!C57</f>
        <v>0</v>
      </c>
      <c r="D38" s="522">
        <f>IFERROR(C38*($D$36/$C$36),0)</f>
        <v>0</v>
      </c>
      <c r="E38" s="578">
        <f>IFERROR(C38*($E$36/$C$36),0)</f>
        <v>0</v>
      </c>
      <c r="G38" s="750"/>
      <c r="H38" s="185"/>
      <c r="I38" s="185"/>
      <c r="J38" s="737"/>
      <c r="K38" s="737"/>
      <c r="O38" s="735" t="s">
        <v>388</v>
      </c>
      <c r="P38" s="736"/>
      <c r="R38" s="735" t="s">
        <v>388</v>
      </c>
      <c r="S38" s="736"/>
    </row>
    <row r="39" spans="2:19" s="11" customFormat="1" ht="18" customHeight="1" thickBot="1" x14ac:dyDescent="0.25">
      <c r="B39" s="109" t="str">
        <f>"Total Yield (" &amp; 'Cut Flower 3'!D6 &amp;")"</f>
        <v>Total Yield (stem, bouquet, lbs, bucket, jar)</v>
      </c>
      <c r="C39" s="522">
        <f>'Cut Flower 3'!C59</f>
        <v>0</v>
      </c>
      <c r="D39" s="522">
        <f>IFERROR(C39*($D$36/$C$36),0)</f>
        <v>0</v>
      </c>
      <c r="E39" s="578">
        <f>IFERROR(C39*($E$36/$C$36),0)</f>
        <v>0</v>
      </c>
      <c r="G39" s="411"/>
      <c r="H39" s="185"/>
      <c r="I39" s="185"/>
      <c r="J39" s="410"/>
      <c r="K39" s="410"/>
      <c r="O39" s="425" t="s">
        <v>376</v>
      </c>
      <c r="P39" s="426" t="s">
        <v>375</v>
      </c>
      <c r="R39" s="425" t="s">
        <v>376</v>
      </c>
      <c r="S39" s="426" t="s">
        <v>375</v>
      </c>
    </row>
    <row r="40" spans="2:19" s="11" customFormat="1" ht="18" customHeight="1" thickBot="1" x14ac:dyDescent="0.25">
      <c r="B40" s="127" t="s">
        <v>14</v>
      </c>
      <c r="C40" s="403">
        <f>'All Cut Flowers Assessment'!I17</f>
        <v>0</v>
      </c>
      <c r="D40" s="403">
        <f>IFERROR(C40*($D$36/$C$36)*($D$37/$C$37),0)</f>
        <v>0</v>
      </c>
      <c r="E40" s="391">
        <f>IFERROR(C40*($E$36/$C$36)*($E$37/$C$37),0)</f>
        <v>0</v>
      </c>
      <c r="G40" s="738" t="s">
        <v>334</v>
      </c>
      <c r="H40" s="739"/>
      <c r="I40" s="78"/>
      <c r="J40" s="738" t="s">
        <v>335</v>
      </c>
      <c r="K40" s="739"/>
      <c r="O40" s="127">
        <v>0</v>
      </c>
      <c r="P40" s="391">
        <f>H60</f>
        <v>0</v>
      </c>
      <c r="R40" s="127">
        <v>0</v>
      </c>
      <c r="S40" s="391">
        <f>H93</f>
        <v>0</v>
      </c>
    </row>
    <row r="41" spans="2:19" s="11" customFormat="1" ht="18" customHeight="1" x14ac:dyDescent="0.2">
      <c r="B41" s="127" t="s">
        <v>383</v>
      </c>
      <c r="C41" s="403">
        <f>'All Cut Flowers Assessment'!I18</f>
        <v>0</v>
      </c>
      <c r="D41" s="403">
        <f>IFERROR(C41*($D$36/$C$36),0)</f>
        <v>0</v>
      </c>
      <c r="E41" s="391">
        <f>IFERROR(C41*($E$36/$C$36),0)</f>
        <v>0</v>
      </c>
      <c r="G41" s="415" t="s">
        <v>266</v>
      </c>
      <c r="H41" s="416">
        <f>D18+D29+D40+D51+D62+D73+D84+D95+D106+D117</f>
        <v>0</v>
      </c>
      <c r="I41" s="78"/>
      <c r="J41" s="417" t="s">
        <v>266</v>
      </c>
      <c r="K41" s="418">
        <f>K8-H8+H41</f>
        <v>0</v>
      </c>
      <c r="O41" s="127">
        <v>1</v>
      </c>
      <c r="P41" s="391">
        <f>IF(O41&lt;=$H$62,$H$61,FALSE)</f>
        <v>0</v>
      </c>
      <c r="R41" s="127">
        <v>1</v>
      </c>
      <c r="S41" s="391">
        <f>IF(R41&lt;=$H$95,$H$94,FALSE)</f>
        <v>0</v>
      </c>
    </row>
    <row r="42" spans="2:19" s="11" customFormat="1" ht="18" customHeight="1" x14ac:dyDescent="0.2">
      <c r="B42" s="404" t="s">
        <v>254</v>
      </c>
      <c r="C42" s="534">
        <f>C40-C41</f>
        <v>0</v>
      </c>
      <c r="D42" s="534">
        <f t="shared" ref="D42" si="6">D40-D41</f>
        <v>0</v>
      </c>
      <c r="E42" s="535">
        <f t="shared" ref="E42" si="7">E40-E41</f>
        <v>0</v>
      </c>
      <c r="G42" s="412" t="s">
        <v>267</v>
      </c>
      <c r="H42" s="416">
        <f>D19+D30+D41+D52+D63+D74+D85+D96+D107+D118</f>
        <v>0</v>
      </c>
      <c r="I42" s="78"/>
      <c r="J42" s="187" t="s">
        <v>267</v>
      </c>
      <c r="K42" s="188">
        <f>K43+K44</f>
        <v>0</v>
      </c>
      <c r="O42" s="127">
        <v>2</v>
      </c>
      <c r="P42" s="391">
        <f t="shared" ref="P42:P105" si="8">IF(O42&lt;=$H$62,$H$61,FALSE)</f>
        <v>0</v>
      </c>
      <c r="R42" s="127">
        <v>2</v>
      </c>
      <c r="S42" s="391">
        <f t="shared" ref="S42:S105" si="9">IF(R42&lt;=$H$95,$H$94,FALSE)</f>
        <v>0</v>
      </c>
    </row>
    <row r="43" spans="2:19" s="11" customFormat="1" ht="18" customHeight="1" thickBot="1" x14ac:dyDescent="0.25">
      <c r="B43" s="176" t="s">
        <v>19</v>
      </c>
      <c r="C43" s="405">
        <f>IFERROR(C42/C40,0)</f>
        <v>0</v>
      </c>
      <c r="D43" s="405">
        <f t="shared" ref="D43" si="10">IFERROR(D42/D40,0)</f>
        <v>0</v>
      </c>
      <c r="E43" s="406">
        <f t="shared" ref="E43" si="11">IFERROR(E42/E40,0)</f>
        <v>0</v>
      </c>
      <c r="G43" s="412" t="s">
        <v>343</v>
      </c>
      <c r="H43" s="339">
        <f>H42</f>
        <v>0</v>
      </c>
      <c r="I43" s="78"/>
      <c r="J43" s="187" t="s">
        <v>343</v>
      </c>
      <c r="K43" s="188">
        <f>H43</f>
        <v>0</v>
      </c>
      <c r="O43" s="127">
        <v>3</v>
      </c>
      <c r="P43" s="391">
        <f t="shared" si="8"/>
        <v>0</v>
      </c>
      <c r="R43" s="127">
        <v>3</v>
      </c>
      <c r="S43" s="391">
        <f t="shared" si="9"/>
        <v>0</v>
      </c>
    </row>
    <row r="44" spans="2:19" s="11" customFormat="1" ht="18" customHeight="1" thickBot="1" x14ac:dyDescent="0.25">
      <c r="G44" s="412"/>
      <c r="H44" s="339"/>
      <c r="I44" s="78"/>
      <c r="J44" s="341" t="s">
        <v>342</v>
      </c>
      <c r="K44" s="188">
        <f>K11</f>
        <v>0</v>
      </c>
      <c r="O44" s="127">
        <v>4</v>
      </c>
      <c r="P44" s="391">
        <f t="shared" si="8"/>
        <v>0</v>
      </c>
      <c r="R44" s="127">
        <v>4</v>
      </c>
      <c r="S44" s="391">
        <f t="shared" si="9"/>
        <v>0</v>
      </c>
    </row>
    <row r="45" spans="2:19" s="11" customFormat="1" ht="18" customHeight="1" thickBot="1" x14ac:dyDescent="0.25">
      <c r="B45" s="766" t="str">
        <f>"Crop 4: "&amp;'Cut Flower 4'!B2</f>
        <v>Crop 4: write name here</v>
      </c>
      <c r="C45" s="767"/>
      <c r="D45" s="767"/>
      <c r="E45" s="768"/>
      <c r="G45" s="413" t="s">
        <v>268</v>
      </c>
      <c r="H45" s="314">
        <f>H41-H42</f>
        <v>0</v>
      </c>
      <c r="I45" s="78"/>
      <c r="J45" s="313" t="s">
        <v>268</v>
      </c>
      <c r="K45" s="314">
        <f>K41-K42</f>
        <v>0</v>
      </c>
      <c r="O45" s="127">
        <v>5</v>
      </c>
      <c r="P45" s="391">
        <f t="shared" si="8"/>
        <v>0</v>
      </c>
      <c r="R45" s="127">
        <v>5</v>
      </c>
      <c r="S45" s="391">
        <f t="shared" si="9"/>
        <v>0</v>
      </c>
    </row>
    <row r="46" spans="2:19" s="11" customFormat="1" ht="18" customHeight="1" x14ac:dyDescent="0.2">
      <c r="B46" s="407"/>
      <c r="C46" s="408" t="s">
        <v>380</v>
      </c>
      <c r="D46" s="408" t="s">
        <v>381</v>
      </c>
      <c r="E46" s="409" t="s">
        <v>382</v>
      </c>
      <c r="G46" s="413" t="s">
        <v>386</v>
      </c>
      <c r="H46" s="395">
        <f>IFERROR(H45/H41,0)</f>
        <v>0</v>
      </c>
      <c r="I46" s="78"/>
      <c r="J46" s="313" t="s">
        <v>386</v>
      </c>
      <c r="K46" s="395">
        <f>IFERROR(K45/K41,0)</f>
        <v>0</v>
      </c>
      <c r="O46" s="127">
        <v>6</v>
      </c>
      <c r="P46" s="391">
        <f t="shared" si="8"/>
        <v>0</v>
      </c>
      <c r="R46" s="127">
        <v>6</v>
      </c>
      <c r="S46" s="391">
        <f t="shared" si="9"/>
        <v>0</v>
      </c>
    </row>
    <row r="47" spans="2:19" s="11" customFormat="1" ht="18" customHeight="1" x14ac:dyDescent="0.2">
      <c r="B47" s="109" t="s">
        <v>233</v>
      </c>
      <c r="C47" s="522">
        <f>'Cut Flower 4'!C54</f>
        <v>0</v>
      </c>
      <c r="D47" s="502">
        <v>0</v>
      </c>
      <c r="E47" s="577">
        <v>0</v>
      </c>
      <c r="G47" s="412" t="s">
        <v>279</v>
      </c>
      <c r="H47" s="339">
        <f>H14</f>
        <v>0</v>
      </c>
      <c r="I47" s="78"/>
      <c r="J47" s="187" t="s">
        <v>279</v>
      </c>
      <c r="K47" s="188">
        <f>K14</f>
        <v>0</v>
      </c>
      <c r="O47" s="127">
        <v>7</v>
      </c>
      <c r="P47" s="391">
        <f t="shared" si="8"/>
        <v>0</v>
      </c>
      <c r="R47" s="127">
        <v>7</v>
      </c>
      <c r="S47" s="391">
        <f t="shared" si="9"/>
        <v>0</v>
      </c>
    </row>
    <row r="48" spans="2:19" s="11" customFormat="1" ht="18" customHeight="1" x14ac:dyDescent="0.2">
      <c r="B48" s="109" t="s">
        <v>384</v>
      </c>
      <c r="C48" s="403">
        <f>IFERROR('Cut Flower 4'!G48/'Cut Flower 4'!G47,0)</f>
        <v>0</v>
      </c>
      <c r="D48" s="491">
        <v>0</v>
      </c>
      <c r="E48" s="579">
        <v>0</v>
      </c>
      <c r="G48" s="412" t="s">
        <v>269</v>
      </c>
      <c r="H48" s="339">
        <f t="shared" ref="H48:H50" si="12">H15</f>
        <v>0</v>
      </c>
      <c r="I48" s="78"/>
      <c r="J48" s="187" t="s">
        <v>269</v>
      </c>
      <c r="K48" s="188">
        <f t="shared" ref="K48:K50" si="13">K15</f>
        <v>0</v>
      </c>
      <c r="O48" s="127">
        <v>8</v>
      </c>
      <c r="P48" s="391">
        <f t="shared" si="8"/>
        <v>0</v>
      </c>
      <c r="R48" s="127">
        <v>8</v>
      </c>
      <c r="S48" s="391">
        <f t="shared" si="9"/>
        <v>0</v>
      </c>
    </row>
    <row r="49" spans="2:19" s="11" customFormat="1" ht="18" customHeight="1" x14ac:dyDescent="0.2">
      <c r="B49" s="109" t="s">
        <v>233</v>
      </c>
      <c r="C49" s="522">
        <f>'Cut Flower 4'!C57</f>
        <v>0</v>
      </c>
      <c r="D49" s="522">
        <f>IFERROR(C49*($D$47/$C$47),0)</f>
        <v>0</v>
      </c>
      <c r="E49" s="578">
        <f>IFERROR(C49*($E$47/$C$47),0)</f>
        <v>0</v>
      </c>
      <c r="G49" s="412" t="s">
        <v>270</v>
      </c>
      <c r="H49" s="339">
        <f t="shared" si="12"/>
        <v>0</v>
      </c>
      <c r="I49" s="78"/>
      <c r="J49" s="187" t="s">
        <v>270</v>
      </c>
      <c r="K49" s="188">
        <f t="shared" si="13"/>
        <v>0</v>
      </c>
      <c r="O49" s="127">
        <v>9</v>
      </c>
      <c r="P49" s="391">
        <f t="shared" si="8"/>
        <v>0</v>
      </c>
      <c r="R49" s="127">
        <v>9</v>
      </c>
      <c r="S49" s="391">
        <f t="shared" si="9"/>
        <v>0</v>
      </c>
    </row>
    <row r="50" spans="2:19" s="11" customFormat="1" ht="18" customHeight="1" x14ac:dyDescent="0.2">
      <c r="B50" s="109" t="str">
        <f>"Total Yield (" &amp; 'Cut Flower 4'!D6 &amp;")"</f>
        <v>Total Yield (stem, bouquet, lbs, bucket, jar)</v>
      </c>
      <c r="C50" s="522">
        <f>'Cut Flower 4'!C59</f>
        <v>0</v>
      </c>
      <c r="D50" s="522">
        <f>IFERROR(C50*($D$47/$C$47),0)</f>
        <v>0</v>
      </c>
      <c r="E50" s="578">
        <f>IFERROR(C50*($E$47/$C$47),0)</f>
        <v>0</v>
      </c>
      <c r="G50" s="412" t="s">
        <v>271</v>
      </c>
      <c r="H50" s="339">
        <f t="shared" si="12"/>
        <v>0</v>
      </c>
      <c r="I50" s="78"/>
      <c r="J50" s="187" t="s">
        <v>271</v>
      </c>
      <c r="K50" s="188">
        <f t="shared" si="13"/>
        <v>0</v>
      </c>
      <c r="O50" s="127">
        <v>10</v>
      </c>
      <c r="P50" s="391">
        <f t="shared" si="8"/>
        <v>0</v>
      </c>
      <c r="R50" s="127">
        <v>10</v>
      </c>
      <c r="S50" s="391">
        <f t="shared" si="9"/>
        <v>0</v>
      </c>
    </row>
    <row r="51" spans="2:19" s="11" customFormat="1" ht="18" customHeight="1" x14ac:dyDescent="0.2">
      <c r="B51" s="127" t="s">
        <v>14</v>
      </c>
      <c r="C51" s="403">
        <f>'All Cut Flowers Assessment'!L17</f>
        <v>0</v>
      </c>
      <c r="D51" s="403">
        <f>IFERROR(C51*($D$47/$C$47)*($D$48/$C$48),0)</f>
        <v>0</v>
      </c>
      <c r="E51" s="391">
        <f>IFERROR(C51*($E$47/$C$47)*($E$48/$C$48),0)</f>
        <v>0</v>
      </c>
      <c r="G51" s="413" t="s">
        <v>273</v>
      </c>
      <c r="H51" s="314">
        <f>H45-H47</f>
        <v>0</v>
      </c>
      <c r="I51" s="78"/>
      <c r="J51" s="313" t="s">
        <v>273</v>
      </c>
      <c r="K51" s="314">
        <f>K45-K47</f>
        <v>0</v>
      </c>
      <c r="O51" s="127">
        <v>11</v>
      </c>
      <c r="P51" s="391">
        <f t="shared" si="8"/>
        <v>0</v>
      </c>
      <c r="R51" s="127">
        <v>11</v>
      </c>
      <c r="S51" s="391">
        <f t="shared" si="9"/>
        <v>0</v>
      </c>
    </row>
    <row r="52" spans="2:19" s="11" customFormat="1" ht="18" customHeight="1" x14ac:dyDescent="0.2">
      <c r="B52" s="127" t="s">
        <v>383</v>
      </c>
      <c r="C52" s="403">
        <f>'All Cut Flowers Assessment'!L18</f>
        <v>0</v>
      </c>
      <c r="D52" s="403">
        <f>IFERROR(C52*($D$47/$C$47),0)</f>
        <v>0</v>
      </c>
      <c r="E52" s="391">
        <f>IFERROR(C52*($E$47/$C$47),0)</f>
        <v>0</v>
      </c>
      <c r="G52" s="413" t="s">
        <v>272</v>
      </c>
      <c r="H52" s="395">
        <f>IFERROR(H51/H41,0)</f>
        <v>0</v>
      </c>
      <c r="I52" s="78"/>
      <c r="J52" s="313" t="s">
        <v>272</v>
      </c>
      <c r="K52" s="395">
        <f>IFERROR(K51/K41,0)</f>
        <v>0</v>
      </c>
      <c r="O52" s="127">
        <v>12</v>
      </c>
      <c r="P52" s="391">
        <f t="shared" si="8"/>
        <v>0</v>
      </c>
      <c r="R52" s="127">
        <v>12</v>
      </c>
      <c r="S52" s="391">
        <f t="shared" si="9"/>
        <v>0</v>
      </c>
    </row>
    <row r="53" spans="2:19" s="11" customFormat="1" ht="18" customHeight="1" x14ac:dyDescent="0.2">
      <c r="B53" s="404" t="s">
        <v>254</v>
      </c>
      <c r="C53" s="534">
        <f>C51-C52</f>
        <v>0</v>
      </c>
      <c r="D53" s="534">
        <f t="shared" ref="D53" si="14">D51-D52</f>
        <v>0</v>
      </c>
      <c r="E53" s="535">
        <f t="shared" ref="E53" si="15">E51-E52</f>
        <v>0</v>
      </c>
      <c r="G53" s="412" t="s">
        <v>274</v>
      </c>
      <c r="H53" s="339">
        <f>H20</f>
        <v>0</v>
      </c>
      <c r="I53" s="78"/>
      <c r="J53" s="187" t="s">
        <v>274</v>
      </c>
      <c r="K53" s="188">
        <f>K20</f>
        <v>0</v>
      </c>
      <c r="O53" s="127">
        <v>13</v>
      </c>
      <c r="P53" s="391">
        <f t="shared" si="8"/>
        <v>0</v>
      </c>
      <c r="R53" s="127">
        <v>13</v>
      </c>
      <c r="S53" s="391">
        <f t="shared" si="9"/>
        <v>0</v>
      </c>
    </row>
    <row r="54" spans="2:19" s="11" customFormat="1" ht="18" customHeight="1" thickBot="1" x14ac:dyDescent="0.25">
      <c r="B54" s="176" t="s">
        <v>19</v>
      </c>
      <c r="C54" s="405">
        <f>IFERROR(C53/C51,0)</f>
        <v>0</v>
      </c>
      <c r="D54" s="405">
        <f t="shared" ref="D54" si="16">IFERROR(D53/D51,0)</f>
        <v>0</v>
      </c>
      <c r="E54" s="406">
        <f t="shared" ref="E54" si="17">IFERROR(E53/E51,0)</f>
        <v>0</v>
      </c>
      <c r="G54" s="413" t="s">
        <v>275</v>
      </c>
      <c r="H54" s="314">
        <f>H51-H53</f>
        <v>0</v>
      </c>
      <c r="I54" s="78"/>
      <c r="J54" s="313" t="s">
        <v>275</v>
      </c>
      <c r="K54" s="314">
        <f>K51-K53</f>
        <v>0</v>
      </c>
      <c r="O54" s="127">
        <v>14</v>
      </c>
      <c r="P54" s="391">
        <f t="shared" si="8"/>
        <v>0</v>
      </c>
      <c r="R54" s="127">
        <v>14</v>
      </c>
      <c r="S54" s="391">
        <f t="shared" si="9"/>
        <v>0</v>
      </c>
    </row>
    <row r="55" spans="2:19" s="11" customFormat="1" ht="18" customHeight="1" thickBot="1" x14ac:dyDescent="0.25">
      <c r="G55" s="412" t="s">
        <v>276</v>
      </c>
      <c r="H55" s="339">
        <f>H22</f>
        <v>0</v>
      </c>
      <c r="I55" s="78"/>
      <c r="J55" s="187" t="s">
        <v>276</v>
      </c>
      <c r="K55" s="188">
        <f>K22</f>
        <v>0</v>
      </c>
      <c r="O55" s="127">
        <v>15</v>
      </c>
      <c r="P55" s="391">
        <f t="shared" si="8"/>
        <v>0</v>
      </c>
      <c r="R55" s="127">
        <v>15</v>
      </c>
      <c r="S55" s="391">
        <f t="shared" si="9"/>
        <v>0</v>
      </c>
    </row>
    <row r="56" spans="2:19" s="11" customFormat="1" ht="18" customHeight="1" thickBot="1" x14ac:dyDescent="0.25">
      <c r="B56" s="770" t="str">
        <f>"Crop 5: "&amp;'Cut Flower 5'!B2</f>
        <v>Crop 5: write name here</v>
      </c>
      <c r="C56" s="771"/>
      <c r="D56" s="771"/>
      <c r="E56" s="772"/>
      <c r="G56" s="412" t="s">
        <v>341</v>
      </c>
      <c r="H56" s="581">
        <f>H23</f>
        <v>0.1</v>
      </c>
      <c r="I56" s="78"/>
      <c r="J56" s="187" t="s">
        <v>341</v>
      </c>
      <c r="K56" s="580">
        <f>K23</f>
        <v>0.1</v>
      </c>
      <c r="O56" s="127">
        <v>16</v>
      </c>
      <c r="P56" s="391">
        <f t="shared" si="8"/>
        <v>0</v>
      </c>
      <c r="R56" s="127">
        <v>16</v>
      </c>
      <c r="S56" s="391">
        <f t="shared" si="9"/>
        <v>0</v>
      </c>
    </row>
    <row r="57" spans="2:19" s="11" customFormat="1" ht="18" customHeight="1" x14ac:dyDescent="0.2">
      <c r="B57" s="407"/>
      <c r="C57" s="408" t="s">
        <v>380</v>
      </c>
      <c r="D57" s="408" t="s">
        <v>381</v>
      </c>
      <c r="E57" s="409" t="s">
        <v>382</v>
      </c>
      <c r="G57" s="413" t="s">
        <v>277</v>
      </c>
      <c r="H57" s="314">
        <f>H54-H55</f>
        <v>0</v>
      </c>
      <c r="I57" s="78"/>
      <c r="J57" s="313" t="s">
        <v>277</v>
      </c>
      <c r="K57" s="314">
        <f>K54-K55</f>
        <v>0</v>
      </c>
      <c r="O57" s="127">
        <v>17</v>
      </c>
      <c r="P57" s="391">
        <f t="shared" si="8"/>
        <v>0</v>
      </c>
      <c r="R57" s="127">
        <v>17</v>
      </c>
      <c r="S57" s="391">
        <f t="shared" si="9"/>
        <v>0</v>
      </c>
    </row>
    <row r="58" spans="2:19" s="11" customFormat="1" ht="18" customHeight="1" thickBot="1" x14ac:dyDescent="0.25">
      <c r="B58" s="109" t="s">
        <v>233</v>
      </c>
      <c r="C58" s="522">
        <f>'Cut Flower 5'!C54</f>
        <v>0</v>
      </c>
      <c r="D58" s="502">
        <v>0</v>
      </c>
      <c r="E58" s="577">
        <v>0</v>
      </c>
      <c r="G58" s="414" t="s">
        <v>278</v>
      </c>
      <c r="H58" s="396">
        <f>IFERROR(H57/H41,0)</f>
        <v>0</v>
      </c>
      <c r="I58" s="78"/>
      <c r="J58" s="315" t="s">
        <v>278</v>
      </c>
      <c r="K58" s="396">
        <f>IFERROR(K57/K41,0)</f>
        <v>0</v>
      </c>
      <c r="O58" s="127">
        <v>18</v>
      </c>
      <c r="P58" s="391">
        <f t="shared" si="8"/>
        <v>0</v>
      </c>
      <c r="R58" s="127">
        <v>18</v>
      </c>
      <c r="S58" s="391">
        <f t="shared" si="9"/>
        <v>0</v>
      </c>
    </row>
    <row r="59" spans="2:19" s="11" customFormat="1" ht="18" customHeight="1" thickBot="1" x14ac:dyDescent="0.25">
      <c r="B59" s="109" t="s">
        <v>384</v>
      </c>
      <c r="C59" s="403">
        <f>IFERROR('Cut Flower 5'!G48/'Cut Flower 5'!G47,0)</f>
        <v>0</v>
      </c>
      <c r="D59" s="491">
        <v>0</v>
      </c>
      <c r="E59" s="579">
        <v>0</v>
      </c>
      <c r="G59" s="327"/>
      <c r="H59" s="328"/>
      <c r="I59" s="78"/>
      <c r="J59" s="327"/>
      <c r="K59" s="328"/>
      <c r="O59" s="127">
        <v>19</v>
      </c>
      <c r="P59" s="391">
        <f t="shared" si="8"/>
        <v>0</v>
      </c>
      <c r="R59" s="127">
        <v>19</v>
      </c>
      <c r="S59" s="391">
        <f t="shared" si="9"/>
        <v>0</v>
      </c>
    </row>
    <row r="60" spans="2:19" s="11" customFormat="1" ht="18" customHeight="1" x14ac:dyDescent="0.2">
      <c r="B60" s="109" t="s">
        <v>233</v>
      </c>
      <c r="C60" s="522">
        <f>'Cut Flower 5'!C57</f>
        <v>0</v>
      </c>
      <c r="D60" s="522">
        <f>IFERROR(C60*($D$58/$C$58),0)</f>
        <v>0</v>
      </c>
      <c r="E60" s="578">
        <f>IFERROR(C60*($E$58/$C$58),0)</f>
        <v>0</v>
      </c>
      <c r="G60" s="419" t="s">
        <v>370</v>
      </c>
      <c r="H60" s="571">
        <f>H27</f>
        <v>0</v>
      </c>
      <c r="I60" s="157"/>
      <c r="J60" s="327"/>
      <c r="K60" s="328"/>
      <c r="O60" s="127">
        <v>20</v>
      </c>
      <c r="P60" s="391">
        <f t="shared" si="8"/>
        <v>0</v>
      </c>
      <c r="R60" s="127">
        <v>20</v>
      </c>
      <c r="S60" s="391">
        <f t="shared" si="9"/>
        <v>0</v>
      </c>
    </row>
    <row r="61" spans="2:19" s="11" customFormat="1" ht="18" customHeight="1" x14ac:dyDescent="0.2">
      <c r="B61" s="109" t="str">
        <f>"Total Yield (" &amp; 'Cut Flower 5'!D6 &amp;")"</f>
        <v>Total Yield (stem, bouquet, lbs, bucket, jar)</v>
      </c>
      <c r="C61" s="522">
        <f>'Cut Flower 5'!C59</f>
        <v>0</v>
      </c>
      <c r="D61" s="522">
        <f>IFERROR(C61*($D$58/$C$58),0)</f>
        <v>0</v>
      </c>
      <c r="E61" s="578">
        <f>IFERROR(C61*($E$58/$C$58),0)</f>
        <v>0</v>
      </c>
      <c r="G61" s="420" t="s">
        <v>371</v>
      </c>
      <c r="H61" s="572">
        <f>(H41-H42-H47)*(1-H56)+H50</f>
        <v>0</v>
      </c>
      <c r="I61" s="157"/>
      <c r="J61" s="327"/>
      <c r="K61" s="328"/>
      <c r="O61" s="127">
        <v>21</v>
      </c>
      <c r="P61" s="391">
        <f t="shared" si="8"/>
        <v>0</v>
      </c>
      <c r="R61" s="127">
        <v>21</v>
      </c>
      <c r="S61" s="391">
        <f t="shared" si="9"/>
        <v>0</v>
      </c>
    </row>
    <row r="62" spans="2:19" s="11" customFormat="1" ht="18" customHeight="1" x14ac:dyDescent="0.2">
      <c r="B62" s="127" t="s">
        <v>14</v>
      </c>
      <c r="C62" s="403">
        <f>'All Cut Flowers Assessment'!O17</f>
        <v>0</v>
      </c>
      <c r="D62" s="403">
        <f>IFERROR(C62*($D$58/$C$58)*($D$59/$C$59),0)</f>
        <v>0</v>
      </c>
      <c r="E62" s="391">
        <f>IFERROR(C62*($E$58/$C$58)*($E$59/$C$59),0)</f>
        <v>0</v>
      </c>
      <c r="G62" s="420" t="s">
        <v>363</v>
      </c>
      <c r="H62" s="422">
        <f>H29</f>
        <v>30</v>
      </c>
      <c r="I62" s="157"/>
      <c r="J62" s="327"/>
      <c r="K62" s="328"/>
      <c r="O62" s="127">
        <v>22</v>
      </c>
      <c r="P62" s="391">
        <f t="shared" si="8"/>
        <v>0</v>
      </c>
      <c r="R62" s="127">
        <v>22</v>
      </c>
      <c r="S62" s="391">
        <f t="shared" si="9"/>
        <v>0</v>
      </c>
    </row>
    <row r="63" spans="2:19" s="11" customFormat="1" ht="18" customHeight="1" x14ac:dyDescent="0.2">
      <c r="B63" s="127" t="s">
        <v>383</v>
      </c>
      <c r="C63" s="403">
        <f>'All Cut Flowers Assessment'!O18</f>
        <v>0</v>
      </c>
      <c r="D63" s="403">
        <f>IFERROR(C63*($D$58/$C$58),0)</f>
        <v>0</v>
      </c>
      <c r="E63" s="391">
        <f>IFERROR(C63*($E$58/$C$58),0)</f>
        <v>0</v>
      </c>
      <c r="G63" s="420" t="s">
        <v>367</v>
      </c>
      <c r="H63" s="581">
        <f>H30</f>
        <v>0.05</v>
      </c>
      <c r="I63" s="157"/>
      <c r="J63" s="327"/>
      <c r="K63" s="328"/>
      <c r="O63" s="127">
        <v>23</v>
      </c>
      <c r="P63" s="391">
        <f t="shared" si="8"/>
        <v>0</v>
      </c>
      <c r="R63" s="127">
        <v>23</v>
      </c>
      <c r="S63" s="391">
        <f t="shared" si="9"/>
        <v>0</v>
      </c>
    </row>
    <row r="64" spans="2:19" s="11" customFormat="1" ht="18" customHeight="1" x14ac:dyDescent="0.2">
      <c r="B64" s="404" t="s">
        <v>254</v>
      </c>
      <c r="C64" s="534">
        <f>C62-C63</f>
        <v>0</v>
      </c>
      <c r="D64" s="534">
        <f t="shared" ref="D64" si="18">D62-D63</f>
        <v>0</v>
      </c>
      <c r="E64" s="535">
        <f t="shared" ref="E64" si="19">E62-E63</f>
        <v>0</v>
      </c>
      <c r="G64" s="413" t="s">
        <v>369</v>
      </c>
      <c r="H64" s="423">
        <f>IFERROR(-H61/H60,0)</f>
        <v>0</v>
      </c>
      <c r="I64" s="157"/>
      <c r="J64" s="327"/>
      <c r="K64" s="328"/>
      <c r="O64" s="127">
        <v>24</v>
      </c>
      <c r="P64" s="391">
        <f t="shared" si="8"/>
        <v>0</v>
      </c>
      <c r="R64" s="127">
        <v>24</v>
      </c>
      <c r="S64" s="391">
        <f t="shared" si="9"/>
        <v>0</v>
      </c>
    </row>
    <row r="65" spans="2:19" s="11" customFormat="1" ht="18" customHeight="1" thickBot="1" x14ac:dyDescent="0.25">
      <c r="B65" s="176" t="s">
        <v>19</v>
      </c>
      <c r="C65" s="405">
        <f>IFERROR(C64/C62,0)</f>
        <v>0</v>
      </c>
      <c r="D65" s="405">
        <f t="shared" ref="D65" si="20">IFERROR(D64/D62,0)</f>
        <v>0</v>
      </c>
      <c r="E65" s="406">
        <f t="shared" ref="E65" si="21">IFERROR(E64/E62,0)</f>
        <v>0</v>
      </c>
      <c r="G65" s="413" t="s">
        <v>364</v>
      </c>
      <c r="H65" s="583">
        <f>H60+PV(H63,H62,H61)</f>
        <v>0</v>
      </c>
      <c r="I65" s="157"/>
      <c r="J65" s="327"/>
      <c r="K65" s="328"/>
      <c r="O65" s="127">
        <v>25</v>
      </c>
      <c r="P65" s="391">
        <f t="shared" si="8"/>
        <v>0</v>
      </c>
      <c r="R65" s="127">
        <v>25</v>
      </c>
      <c r="S65" s="391">
        <f t="shared" si="9"/>
        <v>0</v>
      </c>
    </row>
    <row r="66" spans="2:19" s="11" customFormat="1" ht="18" customHeight="1" thickBot="1" x14ac:dyDescent="0.25">
      <c r="G66" s="413" t="s">
        <v>365</v>
      </c>
      <c r="H66" s="582">
        <f>IFERROR(IRR(P40:P110),0)</f>
        <v>0</v>
      </c>
      <c r="I66" s="157"/>
      <c r="J66" s="327"/>
      <c r="K66" s="328"/>
      <c r="O66" s="127">
        <v>26</v>
      </c>
      <c r="P66" s="391">
        <f t="shared" si="8"/>
        <v>0</v>
      </c>
      <c r="R66" s="127">
        <v>26</v>
      </c>
      <c r="S66" s="391">
        <f t="shared" si="9"/>
        <v>0</v>
      </c>
    </row>
    <row r="67" spans="2:19" s="11" customFormat="1" ht="18" customHeight="1" thickBot="1" x14ac:dyDescent="0.25">
      <c r="B67" s="746" t="str">
        <f>"Crop 6: "&amp;'Cut Flower 6'!B2</f>
        <v>Crop 6: write name here</v>
      </c>
      <c r="C67" s="747"/>
      <c r="D67" s="747"/>
      <c r="E67" s="748"/>
      <c r="G67" s="414" t="s">
        <v>366</v>
      </c>
      <c r="H67" s="424">
        <f>IFERROR(PV(H63,H62,H61)/H60,0)</f>
        <v>0</v>
      </c>
      <c r="I67" s="157"/>
      <c r="J67" s="327"/>
      <c r="K67" s="328"/>
      <c r="O67" s="127">
        <v>27</v>
      </c>
      <c r="P67" s="391">
        <f t="shared" si="8"/>
        <v>0</v>
      </c>
      <c r="R67" s="127">
        <v>27</v>
      </c>
      <c r="S67" s="391">
        <f t="shared" si="9"/>
        <v>0</v>
      </c>
    </row>
    <row r="68" spans="2:19" s="11" customFormat="1" ht="18" customHeight="1" x14ac:dyDescent="0.2">
      <c r="B68" s="407"/>
      <c r="C68" s="408" t="s">
        <v>380</v>
      </c>
      <c r="D68" s="408" t="s">
        <v>381</v>
      </c>
      <c r="E68" s="409" t="s">
        <v>382</v>
      </c>
      <c r="O68" s="127">
        <v>28</v>
      </c>
      <c r="P68" s="391">
        <f t="shared" si="8"/>
        <v>0</v>
      </c>
      <c r="R68" s="127">
        <v>28</v>
      </c>
      <c r="S68" s="391">
        <f t="shared" si="9"/>
        <v>0</v>
      </c>
    </row>
    <row r="69" spans="2:19" s="11" customFormat="1" ht="18" customHeight="1" thickBot="1" x14ac:dyDescent="0.25">
      <c r="B69" s="109" t="s">
        <v>233</v>
      </c>
      <c r="C69" s="522">
        <f>'Cut Flower 6'!C54</f>
        <v>0</v>
      </c>
      <c r="D69" s="502">
        <v>0</v>
      </c>
      <c r="E69" s="577">
        <v>0</v>
      </c>
      <c r="O69" s="127">
        <v>29</v>
      </c>
      <c r="P69" s="391">
        <f t="shared" si="8"/>
        <v>0</v>
      </c>
      <c r="R69" s="127">
        <v>29</v>
      </c>
      <c r="S69" s="391">
        <f t="shared" si="9"/>
        <v>0</v>
      </c>
    </row>
    <row r="70" spans="2:19" s="11" customFormat="1" ht="18" customHeight="1" x14ac:dyDescent="0.2">
      <c r="B70" s="109" t="s">
        <v>384</v>
      </c>
      <c r="C70" s="403">
        <f>IFERROR('Cut Flower 6'!G48/'Cut Flower 6'!G47,0)</f>
        <v>0</v>
      </c>
      <c r="D70" s="491">
        <v>0</v>
      </c>
      <c r="E70" s="579">
        <v>0</v>
      </c>
      <c r="G70" s="749" t="s">
        <v>382</v>
      </c>
      <c r="H70" s="86"/>
      <c r="I70" s="86"/>
      <c r="O70" s="127">
        <v>30</v>
      </c>
      <c r="P70" s="391">
        <f t="shared" si="8"/>
        <v>0</v>
      </c>
      <c r="R70" s="127">
        <v>30</v>
      </c>
      <c r="S70" s="391">
        <f t="shared" si="9"/>
        <v>0</v>
      </c>
    </row>
    <row r="71" spans="2:19" s="11" customFormat="1" ht="18" customHeight="1" thickBot="1" x14ac:dyDescent="0.25">
      <c r="B71" s="109" t="s">
        <v>233</v>
      </c>
      <c r="C71" s="522">
        <f>'Cut Flower 6'!C57</f>
        <v>0</v>
      </c>
      <c r="D71" s="522">
        <f>IFERROR(C71*($D$69/$C$69),0)</f>
        <v>0</v>
      </c>
      <c r="E71" s="578">
        <f>IFERROR(C71*($E$69/$C$69),0)</f>
        <v>0</v>
      </c>
      <c r="G71" s="750"/>
      <c r="H71" s="185"/>
      <c r="I71" s="185"/>
      <c r="J71" s="737"/>
      <c r="K71" s="737"/>
      <c r="O71" s="127">
        <v>31</v>
      </c>
      <c r="P71" s="391" t="b">
        <f t="shared" si="8"/>
        <v>0</v>
      </c>
      <c r="R71" s="127">
        <v>31</v>
      </c>
      <c r="S71" s="391" t="b">
        <f t="shared" si="9"/>
        <v>0</v>
      </c>
    </row>
    <row r="72" spans="2:19" s="11" customFormat="1" ht="18" customHeight="1" thickBot="1" x14ac:dyDescent="0.25">
      <c r="B72" s="109" t="str">
        <f>"Total Yield (" &amp; 'Cut Flower 6'!D6 &amp;")"</f>
        <v>Total Yield (stem, bouquet, lbs, bucket, jar)</v>
      </c>
      <c r="C72" s="522">
        <f>'Cut Flower 6'!C59</f>
        <v>0</v>
      </c>
      <c r="D72" s="522">
        <f>IFERROR(C72*($D$69/$C$69),0)</f>
        <v>0</v>
      </c>
      <c r="E72" s="578">
        <f>IFERROR(C72*($E$69/$C$69),0)</f>
        <v>0</v>
      </c>
      <c r="G72" s="411"/>
      <c r="H72" s="185"/>
      <c r="I72" s="185"/>
      <c r="J72" s="410"/>
      <c r="K72" s="410"/>
      <c r="O72" s="127">
        <v>32</v>
      </c>
      <c r="P72" s="391" t="b">
        <f t="shared" si="8"/>
        <v>0</v>
      </c>
      <c r="R72" s="127">
        <v>32</v>
      </c>
      <c r="S72" s="391" t="b">
        <f t="shared" si="9"/>
        <v>0</v>
      </c>
    </row>
    <row r="73" spans="2:19" s="11" customFormat="1" ht="18" customHeight="1" thickBot="1" x14ac:dyDescent="0.25">
      <c r="B73" s="127" t="s">
        <v>14</v>
      </c>
      <c r="C73" s="403">
        <f>'All Cut Flowers Assessment'!C31</f>
        <v>0</v>
      </c>
      <c r="D73" s="403">
        <f>IFERROR(C73*($D$69/$C$69)*($D$70/$C$70),0)</f>
        <v>0</v>
      </c>
      <c r="E73" s="391">
        <f>IFERROR(C73*($E$69/$C$69)*($E$70/$C$70),0)</f>
        <v>0</v>
      </c>
      <c r="G73" s="738" t="s">
        <v>334</v>
      </c>
      <c r="H73" s="739"/>
      <c r="I73" s="78"/>
      <c r="J73" s="738" t="s">
        <v>335</v>
      </c>
      <c r="K73" s="739"/>
      <c r="O73" s="127">
        <v>33</v>
      </c>
      <c r="P73" s="391" t="b">
        <f t="shared" si="8"/>
        <v>0</v>
      </c>
      <c r="R73" s="127">
        <v>33</v>
      </c>
      <c r="S73" s="391" t="b">
        <f t="shared" si="9"/>
        <v>0</v>
      </c>
    </row>
    <row r="74" spans="2:19" s="11" customFormat="1" ht="18" customHeight="1" x14ac:dyDescent="0.2">
      <c r="B74" s="127" t="s">
        <v>383</v>
      </c>
      <c r="C74" s="403">
        <f>'All Cut Flowers Assessment'!C32</f>
        <v>0</v>
      </c>
      <c r="D74" s="403">
        <f>IFERROR(C74*($D$69/$C$69),0)</f>
        <v>0</v>
      </c>
      <c r="E74" s="391">
        <f>IFERROR(C74*($E$69/$C$69),0)</f>
        <v>0</v>
      </c>
      <c r="G74" s="415" t="s">
        <v>266</v>
      </c>
      <c r="H74" s="416">
        <f>E51+E62+E73+E84+E95+E106+E117+E128+E139+E150</f>
        <v>0</v>
      </c>
      <c r="I74" s="78"/>
      <c r="J74" s="417" t="s">
        <v>266</v>
      </c>
      <c r="K74" s="418">
        <f>K8-H8+H74</f>
        <v>0</v>
      </c>
      <c r="O74" s="127">
        <v>34</v>
      </c>
      <c r="P74" s="391" t="b">
        <f t="shared" si="8"/>
        <v>0</v>
      </c>
      <c r="R74" s="127">
        <v>34</v>
      </c>
      <c r="S74" s="391" t="b">
        <f t="shared" si="9"/>
        <v>0</v>
      </c>
    </row>
    <row r="75" spans="2:19" s="11" customFormat="1" ht="18" customHeight="1" x14ac:dyDescent="0.2">
      <c r="B75" s="404" t="s">
        <v>254</v>
      </c>
      <c r="C75" s="534">
        <f>C73-C74</f>
        <v>0</v>
      </c>
      <c r="D75" s="534">
        <f t="shared" ref="D75" si="22">D73-D74</f>
        <v>0</v>
      </c>
      <c r="E75" s="535">
        <f t="shared" ref="E75" si="23">E73-E74</f>
        <v>0</v>
      </c>
      <c r="G75" s="412" t="s">
        <v>267</v>
      </c>
      <c r="H75" s="416">
        <f>E52+E63+E74+E85+E96+E107+E118+E129+E140+E151</f>
        <v>0</v>
      </c>
      <c r="I75" s="78"/>
      <c r="J75" s="187" t="s">
        <v>267</v>
      </c>
      <c r="K75" s="188">
        <f>K76+K77</f>
        <v>0</v>
      </c>
      <c r="O75" s="127">
        <v>35</v>
      </c>
      <c r="P75" s="391" t="b">
        <f t="shared" si="8"/>
        <v>0</v>
      </c>
      <c r="R75" s="127">
        <v>35</v>
      </c>
      <c r="S75" s="391" t="b">
        <f t="shared" si="9"/>
        <v>0</v>
      </c>
    </row>
    <row r="76" spans="2:19" s="11" customFormat="1" ht="18" customHeight="1" thickBot="1" x14ac:dyDescent="0.25">
      <c r="B76" s="176" t="s">
        <v>19</v>
      </c>
      <c r="C76" s="405">
        <f>IFERROR(C75/C73,0)</f>
        <v>0</v>
      </c>
      <c r="D76" s="405">
        <f t="shared" ref="D76" si="24">IFERROR(D75/D73,0)</f>
        <v>0</v>
      </c>
      <c r="E76" s="406">
        <f t="shared" ref="E76" si="25">IFERROR(E75/E73,0)</f>
        <v>0</v>
      </c>
      <c r="G76" s="412" t="s">
        <v>343</v>
      </c>
      <c r="H76" s="339">
        <f>H75</f>
        <v>0</v>
      </c>
      <c r="I76" s="78"/>
      <c r="J76" s="187" t="s">
        <v>343</v>
      </c>
      <c r="K76" s="188">
        <f>H76</f>
        <v>0</v>
      </c>
      <c r="O76" s="127">
        <v>36</v>
      </c>
      <c r="P76" s="391" t="b">
        <f t="shared" si="8"/>
        <v>0</v>
      </c>
      <c r="R76" s="127">
        <v>36</v>
      </c>
      <c r="S76" s="391" t="b">
        <f t="shared" si="9"/>
        <v>0</v>
      </c>
    </row>
    <row r="77" spans="2:19" s="11" customFormat="1" ht="18" customHeight="1" thickBot="1" x14ac:dyDescent="0.25">
      <c r="G77" s="412"/>
      <c r="H77" s="339"/>
      <c r="I77" s="78"/>
      <c r="J77" s="341" t="s">
        <v>342</v>
      </c>
      <c r="K77" s="188">
        <f>K11</f>
        <v>0</v>
      </c>
      <c r="O77" s="127">
        <v>37</v>
      </c>
      <c r="P77" s="391" t="b">
        <f t="shared" si="8"/>
        <v>0</v>
      </c>
      <c r="R77" s="127">
        <v>37</v>
      </c>
      <c r="S77" s="391" t="b">
        <f t="shared" si="9"/>
        <v>0</v>
      </c>
    </row>
    <row r="78" spans="2:19" s="11" customFormat="1" ht="18" customHeight="1" thickBot="1" x14ac:dyDescent="0.25">
      <c r="B78" s="751" t="str">
        <f>"Crop 7: "&amp;'Cut Flower 7'!B2</f>
        <v>Crop 7: write name here</v>
      </c>
      <c r="C78" s="752"/>
      <c r="D78" s="752"/>
      <c r="E78" s="753"/>
      <c r="G78" s="413" t="s">
        <v>268</v>
      </c>
      <c r="H78" s="314">
        <f>H74-H75</f>
        <v>0</v>
      </c>
      <c r="I78" s="78"/>
      <c r="J78" s="313" t="s">
        <v>268</v>
      </c>
      <c r="K78" s="314">
        <f>K74-K75</f>
        <v>0</v>
      </c>
      <c r="O78" s="127">
        <v>38</v>
      </c>
      <c r="P78" s="391" t="b">
        <f t="shared" si="8"/>
        <v>0</v>
      </c>
      <c r="R78" s="127">
        <v>38</v>
      </c>
      <c r="S78" s="391" t="b">
        <f t="shared" si="9"/>
        <v>0</v>
      </c>
    </row>
    <row r="79" spans="2:19" s="11" customFormat="1" ht="18" customHeight="1" x14ac:dyDescent="0.2">
      <c r="B79" s="407"/>
      <c r="C79" s="408" t="s">
        <v>380</v>
      </c>
      <c r="D79" s="408" t="s">
        <v>381</v>
      </c>
      <c r="E79" s="409" t="s">
        <v>382</v>
      </c>
      <c r="G79" s="413" t="s">
        <v>386</v>
      </c>
      <c r="H79" s="395">
        <f>IFERROR(H78/H74,0)</f>
        <v>0</v>
      </c>
      <c r="I79" s="78"/>
      <c r="J79" s="313" t="s">
        <v>386</v>
      </c>
      <c r="K79" s="395">
        <f>IFERROR(K78/K74,0)</f>
        <v>0</v>
      </c>
      <c r="O79" s="127">
        <v>39</v>
      </c>
      <c r="P79" s="391" t="b">
        <f t="shared" si="8"/>
        <v>0</v>
      </c>
      <c r="R79" s="127">
        <v>39</v>
      </c>
      <c r="S79" s="391" t="b">
        <f t="shared" si="9"/>
        <v>0</v>
      </c>
    </row>
    <row r="80" spans="2:19" s="11" customFormat="1" ht="18" customHeight="1" x14ac:dyDescent="0.2">
      <c r="B80" s="109" t="s">
        <v>233</v>
      </c>
      <c r="C80" s="522">
        <f>'Cut Flower 7'!C54</f>
        <v>0</v>
      </c>
      <c r="D80" s="502">
        <v>0</v>
      </c>
      <c r="E80" s="577">
        <v>0</v>
      </c>
      <c r="G80" s="412" t="s">
        <v>279</v>
      </c>
      <c r="H80" s="339">
        <f>H14</f>
        <v>0</v>
      </c>
      <c r="I80" s="78"/>
      <c r="J80" s="187" t="s">
        <v>279</v>
      </c>
      <c r="K80" s="188">
        <f>K14</f>
        <v>0</v>
      </c>
      <c r="O80" s="127">
        <v>40</v>
      </c>
      <c r="P80" s="391" t="b">
        <f t="shared" si="8"/>
        <v>0</v>
      </c>
      <c r="R80" s="127">
        <v>40</v>
      </c>
      <c r="S80" s="391" t="b">
        <f t="shared" si="9"/>
        <v>0</v>
      </c>
    </row>
    <row r="81" spans="2:19" s="11" customFormat="1" ht="18" customHeight="1" x14ac:dyDescent="0.2">
      <c r="B81" s="109" t="s">
        <v>384</v>
      </c>
      <c r="C81" s="403">
        <f>IFERROR('Cut Flower 7'!G48/'Cut Flower 7'!G47,0)</f>
        <v>0</v>
      </c>
      <c r="D81" s="491">
        <v>0</v>
      </c>
      <c r="E81" s="579">
        <v>0</v>
      </c>
      <c r="G81" s="412" t="s">
        <v>269</v>
      </c>
      <c r="H81" s="339">
        <f t="shared" ref="H81:H83" si="26">H15</f>
        <v>0</v>
      </c>
      <c r="I81" s="78"/>
      <c r="J81" s="187" t="s">
        <v>269</v>
      </c>
      <c r="K81" s="188">
        <f t="shared" ref="K81:K83" si="27">K15</f>
        <v>0</v>
      </c>
      <c r="O81" s="127">
        <v>41</v>
      </c>
      <c r="P81" s="391" t="b">
        <f t="shared" si="8"/>
        <v>0</v>
      </c>
      <c r="R81" s="127">
        <v>41</v>
      </c>
      <c r="S81" s="391" t="b">
        <f t="shared" si="9"/>
        <v>0</v>
      </c>
    </row>
    <row r="82" spans="2:19" s="11" customFormat="1" ht="18" customHeight="1" x14ac:dyDescent="0.2">
      <c r="B82" s="109" t="s">
        <v>233</v>
      </c>
      <c r="C82" s="522">
        <f>'Cut Flower 7'!C57</f>
        <v>0</v>
      </c>
      <c r="D82" s="522">
        <f>IFERROR(C82*($D$80/$C$80),0)</f>
        <v>0</v>
      </c>
      <c r="E82" s="578">
        <f>IFERROR(C82*($E$80/$C$80),0)</f>
        <v>0</v>
      </c>
      <c r="G82" s="412" t="s">
        <v>270</v>
      </c>
      <c r="H82" s="339">
        <f t="shared" si="26"/>
        <v>0</v>
      </c>
      <c r="I82" s="78"/>
      <c r="J82" s="187" t="s">
        <v>270</v>
      </c>
      <c r="K82" s="188">
        <f t="shared" si="27"/>
        <v>0</v>
      </c>
      <c r="O82" s="127">
        <v>42</v>
      </c>
      <c r="P82" s="391" t="b">
        <f t="shared" si="8"/>
        <v>0</v>
      </c>
      <c r="R82" s="127">
        <v>42</v>
      </c>
      <c r="S82" s="391" t="b">
        <f t="shared" si="9"/>
        <v>0</v>
      </c>
    </row>
    <row r="83" spans="2:19" s="11" customFormat="1" ht="18" customHeight="1" x14ac:dyDescent="0.2">
      <c r="B83" s="109" t="str">
        <f>"Total Yield (" &amp; 'Cut Flower 7'!D6 &amp;")"</f>
        <v>Total Yield (stem, bouquet, lbs, bucket, jar)</v>
      </c>
      <c r="C83" s="522">
        <f>'Cut Flower 7'!C59</f>
        <v>0</v>
      </c>
      <c r="D83" s="522">
        <f>IFERROR(C83*($D$80/$C$80),0)</f>
        <v>0</v>
      </c>
      <c r="E83" s="578">
        <f>IFERROR(C83*($E$80/$C$80),0)</f>
        <v>0</v>
      </c>
      <c r="G83" s="412" t="s">
        <v>271</v>
      </c>
      <c r="H83" s="339">
        <f t="shared" si="26"/>
        <v>0</v>
      </c>
      <c r="I83" s="78"/>
      <c r="J83" s="187" t="s">
        <v>271</v>
      </c>
      <c r="K83" s="188">
        <f t="shared" si="27"/>
        <v>0</v>
      </c>
      <c r="O83" s="127">
        <v>43</v>
      </c>
      <c r="P83" s="391" t="b">
        <f t="shared" si="8"/>
        <v>0</v>
      </c>
      <c r="R83" s="127">
        <v>43</v>
      </c>
      <c r="S83" s="391" t="b">
        <f t="shared" si="9"/>
        <v>0</v>
      </c>
    </row>
    <row r="84" spans="2:19" s="11" customFormat="1" ht="18" customHeight="1" x14ac:dyDescent="0.2">
      <c r="B84" s="127" t="s">
        <v>14</v>
      </c>
      <c r="C84" s="403">
        <f>'All Cut Flowers Assessment'!F31</f>
        <v>0</v>
      </c>
      <c r="D84" s="403">
        <f>IFERROR(C84*($D$80/$C$80)*($D$81/$C$81),0)</f>
        <v>0</v>
      </c>
      <c r="E84" s="391">
        <f>IFERROR(C84*($E$80/$C$80)*($E$81/$C$81),0)</f>
        <v>0</v>
      </c>
      <c r="G84" s="413" t="s">
        <v>273</v>
      </c>
      <c r="H84" s="314">
        <f>H78-H80</f>
        <v>0</v>
      </c>
      <c r="I84" s="78"/>
      <c r="J84" s="313" t="s">
        <v>273</v>
      </c>
      <c r="K84" s="314">
        <f>K78-K80</f>
        <v>0</v>
      </c>
      <c r="O84" s="127">
        <v>44</v>
      </c>
      <c r="P84" s="391" t="b">
        <f t="shared" si="8"/>
        <v>0</v>
      </c>
      <c r="R84" s="127">
        <v>44</v>
      </c>
      <c r="S84" s="391" t="b">
        <f t="shared" si="9"/>
        <v>0</v>
      </c>
    </row>
    <row r="85" spans="2:19" s="11" customFormat="1" ht="18" customHeight="1" x14ac:dyDescent="0.2">
      <c r="B85" s="127" t="s">
        <v>383</v>
      </c>
      <c r="C85" s="403">
        <f>'All Cut Flowers Assessment'!F32</f>
        <v>0</v>
      </c>
      <c r="D85" s="403">
        <f>IFERROR(C85*($D$80/$C$80),0)</f>
        <v>0</v>
      </c>
      <c r="E85" s="391">
        <f>IFERROR(C85*($E$80/$C$80),0)</f>
        <v>0</v>
      </c>
      <c r="G85" s="413" t="s">
        <v>272</v>
      </c>
      <c r="H85" s="395">
        <f>IFERROR(H84/H74,0)</f>
        <v>0</v>
      </c>
      <c r="I85" s="78"/>
      <c r="J85" s="313" t="s">
        <v>272</v>
      </c>
      <c r="K85" s="395">
        <f>IFERROR(K84/K74,0)</f>
        <v>0</v>
      </c>
      <c r="O85" s="127">
        <v>45</v>
      </c>
      <c r="P85" s="391" t="b">
        <f t="shared" si="8"/>
        <v>0</v>
      </c>
      <c r="R85" s="127">
        <v>45</v>
      </c>
      <c r="S85" s="391" t="b">
        <f t="shared" si="9"/>
        <v>0</v>
      </c>
    </row>
    <row r="86" spans="2:19" s="11" customFormat="1" ht="18" customHeight="1" x14ac:dyDescent="0.2">
      <c r="B86" s="404" t="s">
        <v>254</v>
      </c>
      <c r="C86" s="534">
        <f>C84-C85</f>
        <v>0</v>
      </c>
      <c r="D86" s="534">
        <f t="shared" ref="D86" si="28">D84-D85</f>
        <v>0</v>
      </c>
      <c r="E86" s="535">
        <f t="shared" ref="E86" si="29">E84-E85</f>
        <v>0</v>
      </c>
      <c r="G86" s="412" t="s">
        <v>274</v>
      </c>
      <c r="H86" s="339">
        <f>H20</f>
        <v>0</v>
      </c>
      <c r="I86" s="78"/>
      <c r="J86" s="187" t="s">
        <v>274</v>
      </c>
      <c r="K86" s="188">
        <f>K20</f>
        <v>0</v>
      </c>
      <c r="O86" s="127">
        <v>46</v>
      </c>
      <c r="P86" s="391" t="b">
        <f t="shared" si="8"/>
        <v>0</v>
      </c>
      <c r="R86" s="127">
        <v>46</v>
      </c>
      <c r="S86" s="391" t="b">
        <f t="shared" si="9"/>
        <v>0</v>
      </c>
    </row>
    <row r="87" spans="2:19" s="11" customFormat="1" ht="18" customHeight="1" thickBot="1" x14ac:dyDescent="0.25">
      <c r="B87" s="176" t="s">
        <v>19</v>
      </c>
      <c r="C87" s="405">
        <f>IFERROR(C86/C84,0)</f>
        <v>0</v>
      </c>
      <c r="D87" s="405">
        <f t="shared" ref="D87" si="30">IFERROR(D86/D84,0)</f>
        <v>0</v>
      </c>
      <c r="E87" s="406">
        <f t="shared" ref="E87" si="31">IFERROR(E86/E84,0)</f>
        <v>0</v>
      </c>
      <c r="G87" s="413" t="s">
        <v>275</v>
      </c>
      <c r="H87" s="314">
        <f>H84-H86</f>
        <v>0</v>
      </c>
      <c r="I87" s="78"/>
      <c r="J87" s="313" t="s">
        <v>275</v>
      </c>
      <c r="K87" s="314">
        <f>K84-K86</f>
        <v>0</v>
      </c>
      <c r="O87" s="127">
        <v>47</v>
      </c>
      <c r="P87" s="391" t="b">
        <f t="shared" si="8"/>
        <v>0</v>
      </c>
      <c r="R87" s="127">
        <v>47</v>
      </c>
      <c r="S87" s="391" t="b">
        <f t="shared" si="9"/>
        <v>0</v>
      </c>
    </row>
    <row r="88" spans="2:19" s="11" customFormat="1" ht="18" customHeight="1" thickBot="1" x14ac:dyDescent="0.25">
      <c r="G88" s="412" t="s">
        <v>276</v>
      </c>
      <c r="H88" s="339">
        <f>H22</f>
        <v>0</v>
      </c>
      <c r="I88" s="78"/>
      <c r="J88" s="187" t="s">
        <v>276</v>
      </c>
      <c r="K88" s="188">
        <f>K22</f>
        <v>0</v>
      </c>
      <c r="O88" s="127">
        <v>48</v>
      </c>
      <c r="P88" s="391" t="b">
        <f t="shared" si="8"/>
        <v>0</v>
      </c>
      <c r="R88" s="127">
        <v>48</v>
      </c>
      <c r="S88" s="391" t="b">
        <f t="shared" si="9"/>
        <v>0</v>
      </c>
    </row>
    <row r="89" spans="2:19" s="11" customFormat="1" ht="18" customHeight="1" thickBot="1" x14ac:dyDescent="0.25">
      <c r="B89" s="754" t="str">
        <f>"Crop 8: "&amp;'Cut Flower 8'!B2</f>
        <v>Crop 8: write name here</v>
      </c>
      <c r="C89" s="755"/>
      <c r="D89" s="755"/>
      <c r="E89" s="756"/>
      <c r="G89" s="412" t="s">
        <v>341</v>
      </c>
      <c r="H89" s="581">
        <f>H23</f>
        <v>0.1</v>
      </c>
      <c r="I89" s="78"/>
      <c r="J89" s="187" t="s">
        <v>341</v>
      </c>
      <c r="K89" s="580">
        <f>K23</f>
        <v>0.1</v>
      </c>
      <c r="O89" s="127">
        <v>49</v>
      </c>
      <c r="P89" s="391" t="b">
        <f t="shared" si="8"/>
        <v>0</v>
      </c>
      <c r="R89" s="127">
        <v>49</v>
      </c>
      <c r="S89" s="391" t="b">
        <f t="shared" si="9"/>
        <v>0</v>
      </c>
    </row>
    <row r="90" spans="2:19" s="11" customFormat="1" ht="18" customHeight="1" x14ac:dyDescent="0.2">
      <c r="B90" s="407"/>
      <c r="C90" s="408" t="s">
        <v>380</v>
      </c>
      <c r="D90" s="408" t="s">
        <v>381</v>
      </c>
      <c r="E90" s="409" t="s">
        <v>382</v>
      </c>
      <c r="G90" s="413" t="s">
        <v>277</v>
      </c>
      <c r="H90" s="314">
        <f>H87-H88</f>
        <v>0</v>
      </c>
      <c r="I90" s="78"/>
      <c r="J90" s="313" t="s">
        <v>277</v>
      </c>
      <c r="K90" s="314">
        <f>K87-K88</f>
        <v>0</v>
      </c>
      <c r="O90" s="127">
        <v>50</v>
      </c>
      <c r="P90" s="391" t="b">
        <f t="shared" si="8"/>
        <v>0</v>
      </c>
      <c r="R90" s="127">
        <v>50</v>
      </c>
      <c r="S90" s="391" t="b">
        <f t="shared" si="9"/>
        <v>0</v>
      </c>
    </row>
    <row r="91" spans="2:19" s="11" customFormat="1" ht="18" customHeight="1" thickBot="1" x14ac:dyDescent="0.25">
      <c r="B91" s="109" t="s">
        <v>233</v>
      </c>
      <c r="C91" s="522">
        <f>'Cut Flower 8'!C54</f>
        <v>0</v>
      </c>
      <c r="D91" s="502">
        <v>0</v>
      </c>
      <c r="E91" s="577">
        <v>0</v>
      </c>
      <c r="G91" s="414" t="s">
        <v>278</v>
      </c>
      <c r="H91" s="396">
        <f>IFERROR(H90/H74,0)</f>
        <v>0</v>
      </c>
      <c r="I91" s="78"/>
      <c r="J91" s="315" t="s">
        <v>278</v>
      </c>
      <c r="K91" s="396">
        <f>IFERROR(K90/K74,0)</f>
        <v>0</v>
      </c>
      <c r="O91" s="127">
        <v>51</v>
      </c>
      <c r="P91" s="391" t="b">
        <f t="shared" si="8"/>
        <v>0</v>
      </c>
      <c r="R91" s="127">
        <v>51</v>
      </c>
      <c r="S91" s="391" t="b">
        <f t="shared" si="9"/>
        <v>0</v>
      </c>
    </row>
    <row r="92" spans="2:19" s="11" customFormat="1" ht="18" customHeight="1" thickBot="1" x14ac:dyDescent="0.25">
      <c r="B92" s="109" t="s">
        <v>384</v>
      </c>
      <c r="C92" s="403">
        <f>IFERROR('Cut Flower 8'!G48/'Cut Flower 8'!G47,0)</f>
        <v>0</v>
      </c>
      <c r="D92" s="491">
        <v>0</v>
      </c>
      <c r="E92" s="579">
        <v>0</v>
      </c>
      <c r="G92" s="327"/>
      <c r="H92" s="328"/>
      <c r="I92" s="78"/>
      <c r="J92" s="327"/>
      <c r="K92" s="328"/>
      <c r="O92" s="127">
        <v>52</v>
      </c>
      <c r="P92" s="391" t="b">
        <f t="shared" si="8"/>
        <v>0</v>
      </c>
      <c r="R92" s="127">
        <v>52</v>
      </c>
      <c r="S92" s="391" t="b">
        <f t="shared" si="9"/>
        <v>0</v>
      </c>
    </row>
    <row r="93" spans="2:19" s="11" customFormat="1" ht="18" customHeight="1" x14ac:dyDescent="0.2">
      <c r="B93" s="109" t="s">
        <v>233</v>
      </c>
      <c r="C93" s="522">
        <f>'Cut Flower 8'!C57</f>
        <v>0</v>
      </c>
      <c r="D93" s="522">
        <f>IFERROR(C93*($D$91/$C$91),0)</f>
        <v>0</v>
      </c>
      <c r="E93" s="578">
        <f>IFERROR(C93*($E$91/$C$91),0)</f>
        <v>0</v>
      </c>
      <c r="G93" s="419" t="s">
        <v>370</v>
      </c>
      <c r="H93" s="571">
        <f>H27</f>
        <v>0</v>
      </c>
      <c r="I93" s="157"/>
      <c r="J93" s="327"/>
      <c r="K93" s="328"/>
      <c r="O93" s="127">
        <v>53</v>
      </c>
      <c r="P93" s="391" t="b">
        <f t="shared" si="8"/>
        <v>0</v>
      </c>
      <c r="R93" s="127">
        <v>53</v>
      </c>
      <c r="S93" s="391" t="b">
        <f t="shared" si="9"/>
        <v>0</v>
      </c>
    </row>
    <row r="94" spans="2:19" s="11" customFormat="1" ht="18" customHeight="1" x14ac:dyDescent="0.2">
      <c r="B94" s="109" t="str">
        <f>"Total Yield (" &amp; 'Cut Flower 8'!D6 &amp;")"</f>
        <v>Total Yield (stem, bouquet, lbs, bucket, jar)</v>
      </c>
      <c r="C94" s="522">
        <f>'Cut Flower 8'!C59</f>
        <v>0</v>
      </c>
      <c r="D94" s="522">
        <f>IFERROR(C94*($D$91/$C$91),0)</f>
        <v>0</v>
      </c>
      <c r="E94" s="578">
        <f>IFERROR(C94*($E$91/$C$91),0)</f>
        <v>0</v>
      </c>
      <c r="G94" s="420" t="s">
        <v>371</v>
      </c>
      <c r="H94" s="572">
        <f>(H74-H75-H80)*(1-H89)+H83</f>
        <v>0</v>
      </c>
      <c r="I94" s="157"/>
      <c r="J94" s="327"/>
      <c r="K94" s="328"/>
      <c r="O94" s="127">
        <v>54</v>
      </c>
      <c r="P94" s="391" t="b">
        <f t="shared" si="8"/>
        <v>0</v>
      </c>
      <c r="R94" s="127">
        <v>54</v>
      </c>
      <c r="S94" s="391" t="b">
        <f t="shared" si="9"/>
        <v>0</v>
      </c>
    </row>
    <row r="95" spans="2:19" s="11" customFormat="1" ht="18" customHeight="1" x14ac:dyDescent="0.2">
      <c r="B95" s="127" t="s">
        <v>14</v>
      </c>
      <c r="C95" s="403">
        <f>'All Cut Flowers Assessment'!I31</f>
        <v>0</v>
      </c>
      <c r="D95" s="403">
        <f>IFERROR(C95*($D$91/$C$91)*($D$92/$C$92),0)</f>
        <v>0</v>
      </c>
      <c r="E95" s="391">
        <f>IFERROR(C95*($E$91/$C$91)*($E$92/$C$92),0)</f>
        <v>0</v>
      </c>
      <c r="G95" s="420" t="s">
        <v>363</v>
      </c>
      <c r="H95" s="422">
        <f>H29</f>
        <v>30</v>
      </c>
      <c r="I95" s="157"/>
      <c r="J95" s="327"/>
      <c r="K95" s="328"/>
      <c r="O95" s="127">
        <v>55</v>
      </c>
      <c r="P95" s="391" t="b">
        <f t="shared" si="8"/>
        <v>0</v>
      </c>
      <c r="R95" s="127">
        <v>55</v>
      </c>
      <c r="S95" s="391" t="b">
        <f t="shared" si="9"/>
        <v>0</v>
      </c>
    </row>
    <row r="96" spans="2:19" s="11" customFormat="1" ht="18" customHeight="1" x14ac:dyDescent="0.2">
      <c r="B96" s="127" t="s">
        <v>383</v>
      </c>
      <c r="C96" s="403">
        <f>'All Cut Flowers Assessment'!I32</f>
        <v>0</v>
      </c>
      <c r="D96" s="403">
        <f>IFERROR(C96*($D$91/$C$91),0)</f>
        <v>0</v>
      </c>
      <c r="E96" s="391">
        <f>IFERROR(C96*($E$91/$C$91),0)</f>
        <v>0</v>
      </c>
      <c r="G96" s="420" t="s">
        <v>367</v>
      </c>
      <c r="H96" s="581">
        <f>H30</f>
        <v>0.05</v>
      </c>
      <c r="I96" s="157"/>
      <c r="J96" s="327"/>
      <c r="K96" s="328"/>
      <c r="O96" s="127">
        <v>56</v>
      </c>
      <c r="P96" s="391" t="b">
        <f t="shared" si="8"/>
        <v>0</v>
      </c>
      <c r="R96" s="127">
        <v>56</v>
      </c>
      <c r="S96" s="391" t="b">
        <f t="shared" si="9"/>
        <v>0</v>
      </c>
    </row>
    <row r="97" spans="2:19" s="11" customFormat="1" ht="18" customHeight="1" x14ac:dyDescent="0.2">
      <c r="B97" s="404" t="s">
        <v>254</v>
      </c>
      <c r="C97" s="534">
        <f>C95-C96</f>
        <v>0</v>
      </c>
      <c r="D97" s="534">
        <f t="shared" ref="D97" si="32">D95-D96</f>
        <v>0</v>
      </c>
      <c r="E97" s="535">
        <f t="shared" ref="E97" si="33">E95-E96</f>
        <v>0</v>
      </c>
      <c r="G97" s="413" t="s">
        <v>369</v>
      </c>
      <c r="H97" s="423">
        <f>IFERROR(-H94/H93,0)</f>
        <v>0</v>
      </c>
      <c r="I97" s="157"/>
      <c r="J97" s="327"/>
      <c r="K97" s="328"/>
      <c r="O97" s="127">
        <v>57</v>
      </c>
      <c r="P97" s="391" t="b">
        <f t="shared" si="8"/>
        <v>0</v>
      </c>
      <c r="R97" s="127">
        <v>57</v>
      </c>
      <c r="S97" s="391" t="b">
        <f t="shared" si="9"/>
        <v>0</v>
      </c>
    </row>
    <row r="98" spans="2:19" s="11" customFormat="1" ht="18" customHeight="1" thickBot="1" x14ac:dyDescent="0.25">
      <c r="B98" s="176" t="s">
        <v>19</v>
      </c>
      <c r="C98" s="405">
        <f>IFERROR(C97/C95,0)</f>
        <v>0</v>
      </c>
      <c r="D98" s="405">
        <f t="shared" ref="D98" si="34">IFERROR(D97/D95,0)</f>
        <v>0</v>
      </c>
      <c r="E98" s="406">
        <f t="shared" ref="E98" si="35">IFERROR(E97/E95,0)</f>
        <v>0</v>
      </c>
      <c r="G98" s="413" t="s">
        <v>364</v>
      </c>
      <c r="H98" s="583">
        <f>H93+PV(H96,H95,H94)</f>
        <v>0</v>
      </c>
      <c r="I98" s="157"/>
      <c r="J98" s="327"/>
      <c r="K98" s="328"/>
      <c r="O98" s="127">
        <v>58</v>
      </c>
      <c r="P98" s="391" t="b">
        <f t="shared" si="8"/>
        <v>0</v>
      </c>
      <c r="R98" s="127">
        <v>58</v>
      </c>
      <c r="S98" s="391" t="b">
        <f t="shared" si="9"/>
        <v>0</v>
      </c>
    </row>
    <row r="99" spans="2:19" s="11" customFormat="1" ht="18" customHeight="1" thickBot="1" x14ac:dyDescent="0.25">
      <c r="G99" s="413" t="s">
        <v>365</v>
      </c>
      <c r="H99" s="582">
        <f>IFERROR(IRR(S40:S110),0)</f>
        <v>0</v>
      </c>
      <c r="I99" s="157"/>
      <c r="J99" s="327"/>
      <c r="K99" s="328"/>
      <c r="O99" s="127">
        <v>59</v>
      </c>
      <c r="P99" s="391" t="b">
        <f t="shared" si="8"/>
        <v>0</v>
      </c>
      <c r="R99" s="127">
        <v>59</v>
      </c>
      <c r="S99" s="391" t="b">
        <f t="shared" si="9"/>
        <v>0</v>
      </c>
    </row>
    <row r="100" spans="2:19" s="11" customFormat="1" ht="18" customHeight="1" thickBot="1" x14ac:dyDescent="0.25">
      <c r="B100" s="757" t="str">
        <f>"Crop 9: "&amp;'Cut Flower 9'!B2</f>
        <v>Crop 9: write name here</v>
      </c>
      <c r="C100" s="758"/>
      <c r="D100" s="758"/>
      <c r="E100" s="759"/>
      <c r="G100" s="414" t="s">
        <v>366</v>
      </c>
      <c r="H100" s="424">
        <f>IFERROR(PV(H96,H95,H94)/H93,0)</f>
        <v>0</v>
      </c>
      <c r="I100" s="157"/>
      <c r="J100" s="327"/>
      <c r="K100" s="328"/>
      <c r="O100" s="127">
        <v>60</v>
      </c>
      <c r="P100" s="391" t="b">
        <f t="shared" si="8"/>
        <v>0</v>
      </c>
      <c r="R100" s="127">
        <v>60</v>
      </c>
      <c r="S100" s="391" t="b">
        <f t="shared" si="9"/>
        <v>0</v>
      </c>
    </row>
    <row r="101" spans="2:19" s="11" customFormat="1" ht="18" customHeight="1" x14ac:dyDescent="0.2">
      <c r="B101" s="407"/>
      <c r="C101" s="408" t="s">
        <v>380</v>
      </c>
      <c r="D101" s="408" t="s">
        <v>381</v>
      </c>
      <c r="E101" s="409" t="s">
        <v>382</v>
      </c>
      <c r="O101" s="127">
        <v>61</v>
      </c>
      <c r="P101" s="391" t="b">
        <f t="shared" si="8"/>
        <v>0</v>
      </c>
      <c r="R101" s="127">
        <v>61</v>
      </c>
      <c r="S101" s="391" t="b">
        <f t="shared" si="9"/>
        <v>0</v>
      </c>
    </row>
    <row r="102" spans="2:19" s="11" customFormat="1" ht="18" customHeight="1" x14ac:dyDescent="0.2">
      <c r="B102" s="109" t="s">
        <v>233</v>
      </c>
      <c r="C102" s="522">
        <f>'Cut Flower 9'!C54</f>
        <v>0</v>
      </c>
      <c r="D102" s="502">
        <v>0</v>
      </c>
      <c r="E102" s="577">
        <v>0</v>
      </c>
      <c r="O102" s="127">
        <v>62</v>
      </c>
      <c r="P102" s="391" t="b">
        <f t="shared" si="8"/>
        <v>0</v>
      </c>
      <c r="R102" s="127">
        <v>62</v>
      </c>
      <c r="S102" s="391" t="b">
        <f t="shared" si="9"/>
        <v>0</v>
      </c>
    </row>
    <row r="103" spans="2:19" s="11" customFormat="1" ht="18" customHeight="1" x14ac:dyDescent="0.2">
      <c r="B103" s="109" t="s">
        <v>384</v>
      </c>
      <c r="C103" s="403">
        <f>IFERROR('Cut Flower 9'!G48/'Cut Flower 9'!G47,0)</f>
        <v>0</v>
      </c>
      <c r="D103" s="491">
        <v>0</v>
      </c>
      <c r="E103" s="579">
        <v>0</v>
      </c>
      <c r="O103" s="127">
        <v>63</v>
      </c>
      <c r="P103" s="391" t="b">
        <f t="shared" si="8"/>
        <v>0</v>
      </c>
      <c r="R103" s="127">
        <v>63</v>
      </c>
      <c r="S103" s="391" t="b">
        <f t="shared" si="9"/>
        <v>0</v>
      </c>
    </row>
    <row r="104" spans="2:19" s="11" customFormat="1" ht="18" customHeight="1" x14ac:dyDescent="0.2">
      <c r="B104" s="109" t="s">
        <v>233</v>
      </c>
      <c r="C104" s="522">
        <f>'Cut Flower 9'!C57</f>
        <v>0</v>
      </c>
      <c r="D104" s="522">
        <f>IFERROR(C104*($D$102/$C$102),0)</f>
        <v>0</v>
      </c>
      <c r="E104" s="578">
        <f>IFERROR(C104*($E$102/$C$102),0)</f>
        <v>0</v>
      </c>
      <c r="O104" s="127">
        <v>64</v>
      </c>
      <c r="P104" s="391" t="b">
        <f t="shared" si="8"/>
        <v>0</v>
      </c>
      <c r="R104" s="127">
        <v>64</v>
      </c>
      <c r="S104" s="391" t="b">
        <f t="shared" si="9"/>
        <v>0</v>
      </c>
    </row>
    <row r="105" spans="2:19" s="11" customFormat="1" ht="18" customHeight="1" x14ac:dyDescent="0.2">
      <c r="B105" s="109" t="str">
        <f>"Total Yield (" &amp; 'Cut Flower 9'!D6 &amp;")"</f>
        <v>Total Yield (stem, bouquet, lbs, bucket, jar)</v>
      </c>
      <c r="C105" s="522">
        <f>'Cut Flower 9'!C59</f>
        <v>0</v>
      </c>
      <c r="D105" s="522">
        <f>IFERROR(C105*($D$102/$C$102),0)</f>
        <v>0</v>
      </c>
      <c r="E105" s="578">
        <f>IFERROR(C105*($E$102/$C$102),0)</f>
        <v>0</v>
      </c>
      <c r="O105" s="127">
        <v>65</v>
      </c>
      <c r="P105" s="391" t="b">
        <f t="shared" si="8"/>
        <v>0</v>
      </c>
      <c r="R105" s="127">
        <v>65</v>
      </c>
      <c r="S105" s="391" t="b">
        <f t="shared" si="9"/>
        <v>0</v>
      </c>
    </row>
    <row r="106" spans="2:19" s="11" customFormat="1" ht="18" customHeight="1" x14ac:dyDescent="0.2">
      <c r="B106" s="127" t="s">
        <v>14</v>
      </c>
      <c r="C106" s="403">
        <f>'All Cut Flowers Assessment'!L31</f>
        <v>0</v>
      </c>
      <c r="D106" s="403">
        <f>IFERROR(C106*($D$102/$C$102)*($D$103/$C$103),0)</f>
        <v>0</v>
      </c>
      <c r="E106" s="391">
        <f>IFERROR(C106*($E$102/$C$102)*($E$103/$C$103),0)</f>
        <v>0</v>
      </c>
      <c r="O106" s="127">
        <v>66</v>
      </c>
      <c r="P106" s="391" t="b">
        <f t="shared" ref="P106:P110" si="36">IF(O106&lt;=$H$62,$H$61,FALSE)</f>
        <v>0</v>
      </c>
      <c r="R106" s="127">
        <v>66</v>
      </c>
      <c r="S106" s="391" t="b">
        <f t="shared" ref="S106:S110" si="37">IF(R106&lt;=$H$95,$H$94,FALSE)</f>
        <v>0</v>
      </c>
    </row>
    <row r="107" spans="2:19" s="11" customFormat="1" ht="18" customHeight="1" x14ac:dyDescent="0.2">
      <c r="B107" s="127" t="s">
        <v>383</v>
      </c>
      <c r="C107" s="403">
        <f>'All Cut Flowers Assessment'!L32</f>
        <v>0</v>
      </c>
      <c r="D107" s="403">
        <f>IFERROR(C107*($D$102/$C$102),0)</f>
        <v>0</v>
      </c>
      <c r="E107" s="391">
        <f>IFERROR(C107*($E$102/$C$102),0)</f>
        <v>0</v>
      </c>
      <c r="O107" s="127">
        <v>67</v>
      </c>
      <c r="P107" s="391" t="b">
        <f t="shared" si="36"/>
        <v>0</v>
      </c>
      <c r="R107" s="127">
        <v>67</v>
      </c>
      <c r="S107" s="391" t="b">
        <f t="shared" si="37"/>
        <v>0</v>
      </c>
    </row>
    <row r="108" spans="2:19" s="11" customFormat="1" ht="18" customHeight="1" x14ac:dyDescent="0.2">
      <c r="B108" s="404" t="s">
        <v>254</v>
      </c>
      <c r="C108" s="534">
        <f>C106-C107</f>
        <v>0</v>
      </c>
      <c r="D108" s="534">
        <f t="shared" ref="D108" si="38">D106-D107</f>
        <v>0</v>
      </c>
      <c r="E108" s="535">
        <f t="shared" ref="E108" si="39">E106-E107</f>
        <v>0</v>
      </c>
      <c r="O108" s="127">
        <v>68</v>
      </c>
      <c r="P108" s="391" t="b">
        <f t="shared" si="36"/>
        <v>0</v>
      </c>
      <c r="R108" s="127">
        <v>68</v>
      </c>
      <c r="S108" s="391" t="b">
        <f t="shared" si="37"/>
        <v>0</v>
      </c>
    </row>
    <row r="109" spans="2:19" s="11" customFormat="1" ht="18" customHeight="1" thickBot="1" x14ac:dyDescent="0.25">
      <c r="B109" s="176" t="s">
        <v>19</v>
      </c>
      <c r="C109" s="405">
        <f>IFERROR(C108/C106,0)</f>
        <v>0</v>
      </c>
      <c r="D109" s="405">
        <f t="shared" ref="D109" si="40">IFERROR(D108/D106,0)</f>
        <v>0</v>
      </c>
      <c r="E109" s="406">
        <f t="shared" ref="E109" si="41">IFERROR(E108/E106,0)</f>
        <v>0</v>
      </c>
      <c r="O109" s="127">
        <v>69</v>
      </c>
      <c r="P109" s="391" t="b">
        <f t="shared" si="36"/>
        <v>0</v>
      </c>
      <c r="R109" s="127">
        <v>69</v>
      </c>
      <c r="S109" s="391" t="b">
        <f t="shared" si="37"/>
        <v>0</v>
      </c>
    </row>
    <row r="110" spans="2:19" s="11" customFormat="1" ht="18" customHeight="1" thickBot="1" x14ac:dyDescent="0.25">
      <c r="O110" s="390">
        <v>70</v>
      </c>
      <c r="P110" s="392" t="b">
        <f t="shared" si="36"/>
        <v>0</v>
      </c>
      <c r="R110" s="390">
        <v>70</v>
      </c>
      <c r="S110" s="392" t="b">
        <f t="shared" si="37"/>
        <v>0</v>
      </c>
    </row>
    <row r="111" spans="2:19" s="11" customFormat="1" ht="18" customHeight="1" thickBot="1" x14ac:dyDescent="0.25">
      <c r="B111" s="760" t="str">
        <f>"Crop 10: "&amp;'Cut Flower 10'!B2</f>
        <v>Crop 10: write name here</v>
      </c>
      <c r="C111" s="761"/>
      <c r="D111" s="761"/>
      <c r="E111" s="762"/>
    </row>
    <row r="112" spans="2:19" s="11" customFormat="1" ht="18" customHeight="1" x14ac:dyDescent="0.2">
      <c r="B112" s="407"/>
      <c r="C112" s="408" t="s">
        <v>380</v>
      </c>
      <c r="D112" s="408" t="s">
        <v>381</v>
      </c>
      <c r="E112" s="409" t="s">
        <v>382</v>
      </c>
    </row>
    <row r="113" spans="2:5" s="11" customFormat="1" ht="18" customHeight="1" x14ac:dyDescent="0.2">
      <c r="B113" s="109" t="s">
        <v>233</v>
      </c>
      <c r="C113" s="522">
        <f>'Cut Flower 10'!C54</f>
        <v>0</v>
      </c>
      <c r="D113" s="502">
        <v>0</v>
      </c>
      <c r="E113" s="577">
        <v>0</v>
      </c>
    </row>
    <row r="114" spans="2:5" s="11" customFormat="1" ht="18" customHeight="1" x14ac:dyDescent="0.2">
      <c r="B114" s="109" t="s">
        <v>384</v>
      </c>
      <c r="C114" s="403">
        <f>IFERROR('Cut Flower 10'!G48/'Cut Flower 10'!G47,0)</f>
        <v>0</v>
      </c>
      <c r="D114" s="491">
        <v>0</v>
      </c>
      <c r="E114" s="579">
        <v>0</v>
      </c>
    </row>
    <row r="115" spans="2:5" s="11" customFormat="1" ht="18" customHeight="1" x14ac:dyDescent="0.2">
      <c r="B115" s="109" t="s">
        <v>233</v>
      </c>
      <c r="C115" s="522">
        <f>'Cut Flower 10'!C57</f>
        <v>0</v>
      </c>
      <c r="D115" s="522">
        <f>IFERROR(C115*($D$113/$C$113),0)</f>
        <v>0</v>
      </c>
      <c r="E115" s="578">
        <f>IFERROR(C115*($E$113/$C$113),0)</f>
        <v>0</v>
      </c>
    </row>
    <row r="116" spans="2:5" s="11" customFormat="1" ht="18" customHeight="1" x14ac:dyDescent="0.2">
      <c r="B116" s="109" t="str">
        <f>"Total Yield (" &amp; 'Cut Flower 10'!D6 &amp;")"</f>
        <v>Total Yield (stem, bouquet, lbs, bucket, jar)</v>
      </c>
      <c r="C116" s="522">
        <f>'Cut Flower 10'!C59</f>
        <v>0</v>
      </c>
      <c r="D116" s="522">
        <f>IFERROR(C116*($D$113/$C$113),0)</f>
        <v>0</v>
      </c>
      <c r="E116" s="578">
        <f>IFERROR(C116*($E$113/$C$113),0)</f>
        <v>0</v>
      </c>
    </row>
    <row r="117" spans="2:5" s="11" customFormat="1" ht="18" customHeight="1" x14ac:dyDescent="0.2">
      <c r="B117" s="127" t="s">
        <v>14</v>
      </c>
      <c r="C117" s="403">
        <f>'All Cut Flowers Assessment'!O31</f>
        <v>0</v>
      </c>
      <c r="D117" s="403">
        <f>IFERROR(C117*($D$113/$C$113)*($D$114/$C$114),0)</f>
        <v>0</v>
      </c>
      <c r="E117" s="391">
        <f>IFERROR(C117*($E$113/$C$113)*($E$114/$C$114),0)</f>
        <v>0</v>
      </c>
    </row>
    <row r="118" spans="2:5" s="11" customFormat="1" ht="18" customHeight="1" x14ac:dyDescent="0.2">
      <c r="B118" s="127" t="s">
        <v>383</v>
      </c>
      <c r="C118" s="403">
        <f>'All Cut Flowers Assessment'!O32</f>
        <v>0</v>
      </c>
      <c r="D118" s="403">
        <f>IFERROR(C118*($D$113/$C$113),0)</f>
        <v>0</v>
      </c>
      <c r="E118" s="391">
        <f>IFERROR(C118*($E$113/$C$113),0)</f>
        <v>0</v>
      </c>
    </row>
    <row r="119" spans="2:5" s="11" customFormat="1" ht="18" customHeight="1" x14ac:dyDescent="0.2">
      <c r="B119" s="404" t="s">
        <v>254</v>
      </c>
      <c r="C119" s="534">
        <f>C117-C118</f>
        <v>0</v>
      </c>
      <c r="D119" s="534">
        <f t="shared" ref="D119" si="42">D117-D118</f>
        <v>0</v>
      </c>
      <c r="E119" s="535">
        <f t="shared" ref="E119" si="43">E117-E118</f>
        <v>0</v>
      </c>
    </row>
    <row r="120" spans="2:5" s="11" customFormat="1" ht="18" customHeight="1" thickBot="1" x14ac:dyDescent="0.25">
      <c r="B120" s="176" t="s">
        <v>19</v>
      </c>
      <c r="C120" s="405">
        <f>IFERROR(C119/C117,0)</f>
        <v>0</v>
      </c>
      <c r="D120" s="405">
        <f t="shared" ref="D120" si="44">IFERROR(D119/D117,0)</f>
        <v>0</v>
      </c>
      <c r="E120" s="406">
        <f t="shared" ref="E120" si="45">IFERROR(E119/E117,0)</f>
        <v>0</v>
      </c>
    </row>
    <row r="121" spans="2:5" s="11" customFormat="1" ht="18" customHeight="1" x14ac:dyDescent="0.2"/>
  </sheetData>
  <sheetProtection selectLockedCells="1"/>
  <mergeCells count="28">
    <mergeCell ref="B78:E78"/>
    <mergeCell ref="B89:E89"/>
    <mergeCell ref="B100:E100"/>
    <mergeCell ref="B111:E111"/>
    <mergeCell ref="F2:H2"/>
    <mergeCell ref="B12:E12"/>
    <mergeCell ref="B45:E45"/>
    <mergeCell ref="B2:D2"/>
    <mergeCell ref="B56:E56"/>
    <mergeCell ref="G70:G71"/>
    <mergeCell ref="G7:H7"/>
    <mergeCell ref="G4:G5"/>
    <mergeCell ref="J71:K71"/>
    <mergeCell ref="G73:H73"/>
    <mergeCell ref="J73:K73"/>
    <mergeCell ref="B23:E23"/>
    <mergeCell ref="B34:E34"/>
    <mergeCell ref="B67:E67"/>
    <mergeCell ref="G37:G38"/>
    <mergeCell ref="J38:K38"/>
    <mergeCell ref="G40:H40"/>
    <mergeCell ref="J40:K40"/>
    <mergeCell ref="O37:P37"/>
    <mergeCell ref="O38:P38"/>
    <mergeCell ref="R37:S37"/>
    <mergeCell ref="R38:S38"/>
    <mergeCell ref="J5:K5"/>
    <mergeCell ref="J7:K7"/>
  </mergeCells>
  <phoneticPr fontId="38" type="noConversion"/>
  <pageMargins left="0.25" right="0.25" top="0.75" bottom="0.75" header="0.3" footer="0.3"/>
  <pageSetup scale="39" orientation="portrait" r:id="rId1"/>
  <ignoredErrors>
    <ignoredError sqref="D18:E18 D29:E29 D4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K43"/>
  <sheetViews>
    <sheetView showGridLines="0" tabSelected="1" zoomScaleNormal="100" workbookViewId="0">
      <pane ySplit="2" topLeftCell="A3" activePane="bottomLeft" state="frozen"/>
      <selection pane="bottomLeft" activeCell="J10" sqref="J10"/>
    </sheetView>
  </sheetViews>
  <sheetFormatPr baseColWidth="10" defaultColWidth="8.83203125" defaultRowHeight="18" customHeight="1" x14ac:dyDescent="0.2"/>
  <cols>
    <col min="1" max="1" width="3.33203125" customWidth="1"/>
    <col min="2" max="2" width="43.6640625" style="45" customWidth="1"/>
    <col min="3" max="3" width="18" style="45" customWidth="1"/>
    <col min="5" max="5" width="53.1640625" customWidth="1"/>
    <col min="6" max="8" width="17.33203125" customWidth="1"/>
    <col min="9" max="9" width="17.1640625" style="11" customWidth="1"/>
    <col min="10" max="10" width="17.33203125" customWidth="1"/>
    <col min="14" max="14" width="40.1640625" customWidth="1"/>
    <col min="15" max="15" width="16.6640625" customWidth="1"/>
  </cols>
  <sheetData>
    <row r="1" spans="2:9" ht="10" customHeight="1" thickBot="1" x14ac:dyDescent="0.25"/>
    <row r="2" spans="2:9" s="3" customFormat="1" ht="27" customHeight="1" thickBot="1" x14ac:dyDescent="0.35">
      <c r="B2" s="322" t="s">
        <v>289</v>
      </c>
      <c r="C2" s="45"/>
      <c r="D2" s="602" t="s">
        <v>89</v>
      </c>
      <c r="E2" s="602"/>
      <c r="F2" s="174"/>
      <c r="G2"/>
    </row>
    <row r="3" spans="2:9" s="3" customFormat="1" ht="18" customHeight="1" x14ac:dyDescent="0.25">
      <c r="B3" s="54"/>
      <c r="C3" s="45"/>
      <c r="G3"/>
    </row>
    <row r="7" spans="2:9" ht="18" customHeight="1" thickBot="1" x14ac:dyDescent="0.25"/>
    <row r="8" spans="2:9" ht="18" customHeight="1" thickBot="1" x14ac:dyDescent="0.25">
      <c r="B8" s="606" t="s">
        <v>118</v>
      </c>
      <c r="C8" s="607"/>
      <c r="D8" s="78"/>
      <c r="E8" s="598" t="s">
        <v>151</v>
      </c>
      <c r="F8" s="599"/>
      <c r="G8" s="599"/>
      <c r="H8" s="600"/>
    </row>
    <row r="9" spans="2:9" ht="18" customHeight="1" x14ac:dyDescent="0.2">
      <c r="B9" s="208" t="s">
        <v>247</v>
      </c>
      <c r="C9" s="468">
        <v>0</v>
      </c>
      <c r="D9" s="78"/>
      <c r="E9" s="427"/>
      <c r="F9" s="428" t="s">
        <v>250</v>
      </c>
      <c r="G9" s="428" t="s">
        <v>249</v>
      </c>
      <c r="H9" s="429" t="s">
        <v>251</v>
      </c>
      <c r="I9" s="171"/>
    </row>
    <row r="10" spans="2:9" ht="18" customHeight="1" x14ac:dyDescent="0.2">
      <c r="B10" s="207" t="s">
        <v>116</v>
      </c>
      <c r="C10" s="467">
        <v>0</v>
      </c>
      <c r="D10" s="78"/>
      <c r="E10" s="169" t="s">
        <v>391</v>
      </c>
      <c r="F10" s="106">
        <v>0</v>
      </c>
      <c r="G10" s="110">
        <v>13</v>
      </c>
      <c r="H10" s="151">
        <f>F10*G10</f>
        <v>0</v>
      </c>
      <c r="I10"/>
    </row>
    <row r="11" spans="2:9" ht="18" customHeight="1" x14ac:dyDescent="0.2">
      <c r="B11" s="207" t="s">
        <v>248</v>
      </c>
      <c r="C11" s="467">
        <v>0</v>
      </c>
      <c r="D11" s="78"/>
      <c r="E11" s="169" t="s">
        <v>392</v>
      </c>
      <c r="F11" s="106">
        <v>0</v>
      </c>
      <c r="G11" s="110">
        <v>13</v>
      </c>
      <c r="H11" s="151">
        <f>F11*G11</f>
        <v>0</v>
      </c>
      <c r="I11"/>
    </row>
    <row r="12" spans="2:9" ht="18" customHeight="1" x14ac:dyDescent="0.2">
      <c r="B12" s="207" t="s">
        <v>116</v>
      </c>
      <c r="C12" s="467">
        <v>0</v>
      </c>
      <c r="D12" s="78"/>
      <c r="E12" s="169" t="s">
        <v>393</v>
      </c>
      <c r="F12" s="106">
        <v>0</v>
      </c>
      <c r="G12" s="110">
        <v>13</v>
      </c>
      <c r="H12" s="151">
        <f>F12*G12</f>
        <v>0</v>
      </c>
      <c r="I12"/>
    </row>
    <row r="13" spans="2:9" ht="18" customHeight="1" thickBot="1" x14ac:dyDescent="0.25">
      <c r="B13" s="207" t="s">
        <v>150</v>
      </c>
      <c r="C13" s="466">
        <f>SUM(C9:C12)</f>
        <v>0</v>
      </c>
      <c r="D13" s="78"/>
      <c r="E13" s="170" t="s">
        <v>394</v>
      </c>
      <c r="F13" s="164">
        <v>0</v>
      </c>
      <c r="G13" s="115">
        <v>13</v>
      </c>
      <c r="H13" s="165">
        <f>F13*G13</f>
        <v>0</v>
      </c>
      <c r="I13"/>
    </row>
    <row r="14" spans="2:9" ht="18" customHeight="1" x14ac:dyDescent="0.2">
      <c r="B14" s="207" t="s">
        <v>396</v>
      </c>
      <c r="C14" s="285">
        <f>-C15*C16</f>
        <v>0</v>
      </c>
      <c r="D14" s="431"/>
      <c r="E14" s="608" t="s">
        <v>152</v>
      </c>
      <c r="F14" s="608"/>
      <c r="G14" s="608"/>
      <c r="H14" s="215">
        <f>SUM(H10:H13)</f>
        <v>0</v>
      </c>
      <c r="I14"/>
    </row>
    <row r="15" spans="2:9" ht="18" customHeight="1" x14ac:dyDescent="0.2">
      <c r="B15" s="207" t="s">
        <v>397</v>
      </c>
      <c r="C15" s="465">
        <v>0</v>
      </c>
      <c r="D15" s="431"/>
      <c r="E15" s="608" t="s">
        <v>153</v>
      </c>
      <c r="F15" s="608"/>
      <c r="G15" s="608"/>
      <c r="H15" s="456">
        <f>IFERROR((C9+C11)/H14,0)</f>
        <v>0</v>
      </c>
    </row>
    <row r="16" spans="2:9" ht="18" customHeight="1" x14ac:dyDescent="0.2">
      <c r="B16" s="207" t="s">
        <v>292</v>
      </c>
      <c r="C16" s="457">
        <f>'Direct Labor Cost'!D55+'Cut Flower 2'!D110+'Cut Flower 3'!D110+'Cut Flower 4'!D110+'Cut Flower 5'!D110+'Cut Flower 6'!D110+'Cut Flower 7'!D110+'Cut Flower 8'!D110+'Cut Flower 9'!D110+'Cut Flower 10'!D110</f>
        <v>0</v>
      </c>
      <c r="E16" s="168"/>
      <c r="F16" s="168"/>
      <c r="G16" s="78"/>
      <c r="H16" s="78"/>
    </row>
    <row r="17" spans="2:11" ht="18" customHeight="1" thickBot="1" x14ac:dyDescent="0.25">
      <c r="B17" s="286" t="s">
        <v>399</v>
      </c>
      <c r="C17" s="464">
        <f>C13+C14</f>
        <v>0</v>
      </c>
      <c r="D17" s="59"/>
      <c r="E17" s="72"/>
      <c r="F17" s="72"/>
      <c r="G17" s="72"/>
      <c r="H17" s="72"/>
    </row>
    <row r="18" spans="2:11" ht="18" customHeight="1" x14ac:dyDescent="0.2">
      <c r="B18" s="430"/>
      <c r="C18" s="366"/>
      <c r="D18" s="59"/>
      <c r="E18" s="72"/>
      <c r="F18" s="72"/>
      <c r="G18" s="72"/>
      <c r="H18" s="72"/>
    </row>
    <row r="19" spans="2:11" ht="18" customHeight="1" x14ac:dyDescent="0.2">
      <c r="B19" s="432" t="s">
        <v>398</v>
      </c>
      <c r="C19" s="366"/>
      <c r="D19" s="59"/>
      <c r="E19" s="72"/>
      <c r="F19" s="72"/>
      <c r="G19" s="72"/>
      <c r="H19" s="72"/>
    </row>
    <row r="20" spans="2:11" ht="18" customHeight="1" x14ac:dyDescent="0.2">
      <c r="B20" s="433" t="s">
        <v>395</v>
      </c>
      <c r="C20" s="366"/>
      <c r="D20" s="59"/>
      <c r="E20" s="72"/>
      <c r="F20" s="72"/>
      <c r="G20" s="72"/>
      <c r="H20" s="72"/>
    </row>
    <row r="21" spans="2:11" ht="18" customHeight="1" x14ac:dyDescent="0.2">
      <c r="B21" s="433" t="s">
        <v>400</v>
      </c>
      <c r="C21" s="366"/>
      <c r="D21" s="59"/>
      <c r="E21" s="72"/>
      <c r="F21" s="72"/>
      <c r="G21" s="72"/>
      <c r="H21" s="72"/>
    </row>
    <row r="22" spans="2:11" ht="18" customHeight="1" thickBot="1" x14ac:dyDescent="0.25">
      <c r="B22" s="11"/>
      <c r="C22" s="113"/>
      <c r="D22" s="59"/>
      <c r="E22" s="72"/>
      <c r="F22" s="72"/>
      <c r="G22" s="72"/>
      <c r="H22" s="72"/>
    </row>
    <row r="23" spans="2:11" ht="18" customHeight="1" thickBot="1" x14ac:dyDescent="0.25">
      <c r="B23" s="603" t="s">
        <v>119</v>
      </c>
      <c r="C23" s="604"/>
      <c r="E23" s="603" t="s">
        <v>154</v>
      </c>
      <c r="F23" s="605"/>
      <c r="G23" s="605"/>
      <c r="H23" s="605"/>
      <c r="I23" s="605"/>
      <c r="J23" s="604"/>
    </row>
    <row r="24" spans="2:11" ht="18" customHeight="1" x14ac:dyDescent="0.2">
      <c r="B24" s="234" t="s">
        <v>96</v>
      </c>
      <c r="C24" s="459">
        <f>J30</f>
        <v>0</v>
      </c>
      <c r="E24" s="201"/>
      <c r="F24" s="202" t="s">
        <v>250</v>
      </c>
      <c r="G24" s="202" t="s">
        <v>249</v>
      </c>
      <c r="H24" s="202" t="s">
        <v>251</v>
      </c>
      <c r="I24" s="203" t="s">
        <v>252</v>
      </c>
      <c r="J24" s="216" t="s">
        <v>253</v>
      </c>
      <c r="K24" s="60"/>
    </row>
    <row r="25" spans="2:11" ht="18" customHeight="1" x14ac:dyDescent="0.2">
      <c r="B25" s="127" t="s">
        <v>112</v>
      </c>
      <c r="C25" s="460">
        <v>0</v>
      </c>
      <c r="E25" s="166" t="s">
        <v>155</v>
      </c>
      <c r="F25" s="106">
        <v>0</v>
      </c>
      <c r="G25" s="106">
        <v>0</v>
      </c>
      <c r="H25" s="114">
        <f>F25*G25</f>
        <v>0</v>
      </c>
      <c r="I25" s="402">
        <v>0</v>
      </c>
      <c r="J25" s="452">
        <f>H25*I25</f>
        <v>0</v>
      </c>
      <c r="K25" s="11"/>
    </row>
    <row r="26" spans="2:11" ht="18" customHeight="1" x14ac:dyDescent="0.2">
      <c r="B26" s="127" t="s">
        <v>113</v>
      </c>
      <c r="C26" s="460">
        <v>0</v>
      </c>
      <c r="E26" s="166" t="s">
        <v>156</v>
      </c>
      <c r="F26" s="106">
        <v>0</v>
      </c>
      <c r="G26" s="106">
        <v>0</v>
      </c>
      <c r="H26" s="114">
        <f>F26*G26</f>
        <v>0</v>
      </c>
      <c r="I26" s="402">
        <v>0</v>
      </c>
      <c r="J26" s="452">
        <f>H26*I26</f>
        <v>0</v>
      </c>
      <c r="K26" s="11"/>
    </row>
    <row r="27" spans="2:11" ht="18" customHeight="1" x14ac:dyDescent="0.2">
      <c r="B27" s="178" t="s">
        <v>317</v>
      </c>
      <c r="C27" s="461">
        <v>0</v>
      </c>
      <c r="E27" s="166" t="s">
        <v>157</v>
      </c>
      <c r="F27" s="106">
        <v>0</v>
      </c>
      <c r="G27" s="106">
        <v>0</v>
      </c>
      <c r="H27" s="114">
        <f>F27*G27</f>
        <v>0</v>
      </c>
      <c r="I27" s="402">
        <v>0</v>
      </c>
      <c r="J27" s="452">
        <f>H27*I27</f>
        <v>0</v>
      </c>
      <c r="K27" s="11"/>
    </row>
    <row r="28" spans="2:11" ht="18" customHeight="1" x14ac:dyDescent="0.2">
      <c r="B28" s="109" t="s">
        <v>318</v>
      </c>
      <c r="C28" s="391">
        <f>C24*C29</f>
        <v>0</v>
      </c>
      <c r="E28" s="166" t="s">
        <v>158</v>
      </c>
      <c r="F28" s="106">
        <v>0</v>
      </c>
      <c r="G28" s="106">
        <v>0</v>
      </c>
      <c r="H28" s="114">
        <f>F28*G28</f>
        <v>0</v>
      </c>
      <c r="I28" s="402">
        <v>0</v>
      </c>
      <c r="J28" s="452">
        <f>H28*I28</f>
        <v>0</v>
      </c>
      <c r="K28" s="11"/>
    </row>
    <row r="29" spans="2:11" ht="18" customHeight="1" thickBot="1" x14ac:dyDescent="0.25">
      <c r="B29" s="178" t="s">
        <v>319</v>
      </c>
      <c r="C29" s="451">
        <v>0.1</v>
      </c>
      <c r="E29" s="167" t="s">
        <v>159</v>
      </c>
      <c r="F29" s="164">
        <v>0</v>
      </c>
      <c r="G29" s="164">
        <v>0</v>
      </c>
      <c r="H29" s="217">
        <f>F29*G29</f>
        <v>0</v>
      </c>
      <c r="I29" s="453">
        <v>0</v>
      </c>
      <c r="J29" s="454">
        <f>H29*I29</f>
        <v>0</v>
      </c>
      <c r="K29" s="11"/>
    </row>
    <row r="30" spans="2:11" ht="18" customHeight="1" x14ac:dyDescent="0.2">
      <c r="B30" s="178" t="s">
        <v>401</v>
      </c>
      <c r="C30" s="391">
        <f>-C31*C32</f>
        <v>0</v>
      </c>
      <c r="E30" s="287"/>
      <c r="F30" s="95"/>
      <c r="G30" s="86"/>
      <c r="H30" s="172"/>
      <c r="I30" s="146" t="s">
        <v>291</v>
      </c>
      <c r="J30" s="455">
        <f>SUM(J25:J29)</f>
        <v>0</v>
      </c>
      <c r="K30" s="11"/>
    </row>
    <row r="31" spans="2:11" ht="18" customHeight="1" x14ac:dyDescent="0.2">
      <c r="B31" s="109" t="s">
        <v>315</v>
      </c>
      <c r="C31" s="391">
        <f>IFERROR((J30+C27+C28)/SUM(H25:H29),0)</f>
        <v>0</v>
      </c>
      <c r="D31" s="173"/>
      <c r="E31" s="78"/>
      <c r="F31" s="78"/>
      <c r="G31" s="86"/>
      <c r="H31" s="172"/>
      <c r="I31" s="146"/>
      <c r="J31" s="113"/>
    </row>
    <row r="32" spans="2:11" ht="18" customHeight="1" x14ac:dyDescent="0.2">
      <c r="B32" s="109" t="s">
        <v>316</v>
      </c>
      <c r="C32" s="458">
        <f>'Direct Labor Cost'!C55+'Cut Flower 2'!C110+'Cut Flower 3'!C110+'Cut Flower 4'!C110+'Cut Flower 5'!C110+'Cut Flower 6'!C110+'Cut Flower 7'!C110+'Cut Flower 8'!C110+'Cut Flower 9'!C110+'Cut Flower 10'!C110</f>
        <v>0</v>
      </c>
      <c r="E32" s="78"/>
      <c r="F32" s="78"/>
      <c r="G32" s="86"/>
      <c r="H32" s="172"/>
      <c r="I32" s="146"/>
      <c r="J32" s="113"/>
    </row>
    <row r="33" spans="2:10" ht="18" customHeight="1" thickBot="1" x14ac:dyDescent="0.25">
      <c r="B33" s="176" t="s">
        <v>402</v>
      </c>
      <c r="C33" s="462">
        <f>C24+C25+C26+C27+C28+C30</f>
        <v>0</v>
      </c>
      <c r="D33" s="13"/>
      <c r="I33"/>
      <c r="J33" s="11"/>
    </row>
    <row r="34" spans="2:10" ht="18" customHeight="1" x14ac:dyDescent="0.2">
      <c r="D34" s="22"/>
      <c r="E34" s="173"/>
      <c r="F34" s="173"/>
      <c r="G34" s="173"/>
      <c r="I34"/>
      <c r="J34" s="11"/>
    </row>
    <row r="35" spans="2:10" ht="18" customHeight="1" x14ac:dyDescent="0.2">
      <c r="B35" s="434" t="s">
        <v>403</v>
      </c>
      <c r="D35" s="22"/>
      <c r="I35"/>
      <c r="J35" s="11"/>
    </row>
    <row r="36" spans="2:10" ht="18" customHeight="1" x14ac:dyDescent="0.2">
      <c r="B36" s="435" t="s">
        <v>404</v>
      </c>
      <c r="D36" s="22"/>
      <c r="I36"/>
      <c r="J36" s="11"/>
    </row>
    <row r="37" spans="2:10" ht="18" customHeight="1" x14ac:dyDescent="0.2">
      <c r="D37" s="22"/>
      <c r="I37"/>
      <c r="J37" s="11"/>
    </row>
    <row r="38" spans="2:10" ht="18" customHeight="1" x14ac:dyDescent="0.2">
      <c r="B38" s="39" t="s">
        <v>320</v>
      </c>
      <c r="C38" s="463">
        <f>C17+C33</f>
        <v>0</v>
      </c>
      <c r="D38" s="22"/>
      <c r="I38"/>
      <c r="J38" s="11"/>
    </row>
    <row r="39" spans="2:10" s="11" customFormat="1" ht="18" customHeight="1" x14ac:dyDescent="0.2">
      <c r="B39" s="235"/>
      <c r="C39" s="113"/>
    </row>
    <row r="40" spans="2:10" ht="18" customHeight="1" x14ac:dyDescent="0.2">
      <c r="I40"/>
      <c r="J40" s="11"/>
    </row>
    <row r="41" spans="2:10" ht="18" customHeight="1" x14ac:dyDescent="0.2">
      <c r="B41" s="39"/>
      <c r="C41" s="12"/>
      <c r="I41"/>
    </row>
    <row r="43" spans="2:10" ht="18" customHeight="1" x14ac:dyDescent="0.2">
      <c r="B43" s="39"/>
      <c r="C43" s="12"/>
    </row>
  </sheetData>
  <sheetProtection selectLockedCells="1"/>
  <mergeCells count="7">
    <mergeCell ref="D2:E2"/>
    <mergeCell ref="B23:C23"/>
    <mergeCell ref="E8:H8"/>
    <mergeCell ref="E23:J23"/>
    <mergeCell ref="B8:C8"/>
    <mergeCell ref="E14:G14"/>
    <mergeCell ref="E15:G15"/>
  </mergeCells>
  <phoneticPr fontId="38" type="noConversion"/>
  <pageMargins left="0.7" right="0.7" top="0.75" bottom="0.75" header="0.3" footer="0.3"/>
  <pageSetup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F0"/>
    <pageSetUpPr autoPageBreaks="0" fitToPage="1"/>
  </sheetPr>
  <dimension ref="B1:M72"/>
  <sheetViews>
    <sheetView showGridLines="0" zoomScaleNormal="100" workbookViewId="0">
      <pane ySplit="2" topLeftCell="A58" activePane="bottomLeft" state="frozen"/>
      <selection pane="bottomLeft" activeCell="F12" sqref="F12"/>
    </sheetView>
  </sheetViews>
  <sheetFormatPr baseColWidth="10" defaultColWidth="8.83203125" defaultRowHeight="15" x14ac:dyDescent="0.2"/>
  <cols>
    <col min="1" max="1" width="3.33203125" customWidth="1"/>
    <col min="2" max="2" width="57.5" customWidth="1"/>
    <col min="3" max="3" width="28" customWidth="1"/>
    <col min="4" max="4" width="30.5" customWidth="1"/>
    <col min="5" max="5" width="25.33203125" customWidth="1"/>
    <col min="6" max="6" width="15" customWidth="1"/>
    <col min="7" max="7" width="17.5" customWidth="1"/>
    <col min="8" max="8" width="16.83203125" customWidth="1"/>
    <col min="9" max="9" width="16" customWidth="1"/>
    <col min="10" max="10" width="16.1640625" customWidth="1"/>
    <col min="11" max="11" width="12.83203125" customWidth="1"/>
    <col min="12" max="12" width="17" customWidth="1"/>
    <col min="13" max="13" width="12.5" customWidth="1"/>
  </cols>
  <sheetData>
    <row r="1" spans="2:10" ht="10" customHeight="1" thickBot="1" x14ac:dyDescent="0.25"/>
    <row r="2" spans="2:10" ht="27" customHeight="1" thickBot="1" x14ac:dyDescent="0.35">
      <c r="B2" s="35" t="s">
        <v>101</v>
      </c>
      <c r="C2" s="175"/>
      <c r="D2" s="602" t="s">
        <v>89</v>
      </c>
      <c r="E2" s="602"/>
      <c r="F2" s="213"/>
      <c r="G2" s="213"/>
      <c r="H2" s="213"/>
      <c r="I2" s="53"/>
      <c r="J2" s="53"/>
    </row>
    <row r="7" spans="2:10" ht="16" thickBot="1" x14ac:dyDescent="0.25"/>
    <row r="8" spans="2:10" ht="18" x14ac:dyDescent="0.2">
      <c r="B8" s="253" t="s">
        <v>308</v>
      </c>
      <c r="C8" s="254" t="s">
        <v>303</v>
      </c>
    </row>
    <row r="9" spans="2:10" ht="18" customHeight="1" x14ac:dyDescent="0.2">
      <c r="B9" s="210" t="s">
        <v>55</v>
      </c>
      <c r="C9" s="471">
        <v>0</v>
      </c>
    </row>
    <row r="10" spans="2:10" ht="18" customHeight="1" x14ac:dyDescent="0.2">
      <c r="B10" s="210" t="s">
        <v>56</v>
      </c>
      <c r="C10" s="471">
        <v>0</v>
      </c>
    </row>
    <row r="11" spans="2:10" ht="18" customHeight="1" x14ac:dyDescent="0.2">
      <c r="B11" s="211" t="s">
        <v>57</v>
      </c>
      <c r="C11" s="471">
        <v>0</v>
      </c>
    </row>
    <row r="12" spans="2:10" ht="18" customHeight="1" thickBot="1" x14ac:dyDescent="0.25">
      <c r="B12" s="251" t="s">
        <v>262</v>
      </c>
      <c r="C12" s="472">
        <f>SUM(C9:C11)</f>
        <v>0</v>
      </c>
    </row>
    <row r="13" spans="2:10" s="17" customFormat="1" ht="18" customHeight="1" x14ac:dyDescent="0.2">
      <c r="B13" s="253" t="s">
        <v>304</v>
      </c>
      <c r="C13" s="254" t="s">
        <v>303</v>
      </c>
    </row>
    <row r="14" spans="2:10" ht="18" customHeight="1" x14ac:dyDescent="0.2">
      <c r="B14" s="210" t="s">
        <v>138</v>
      </c>
      <c r="C14" s="471">
        <v>0</v>
      </c>
    </row>
    <row r="15" spans="2:10" ht="18" customHeight="1" x14ac:dyDescent="0.2">
      <c r="B15" s="210" t="s">
        <v>135</v>
      </c>
      <c r="C15" s="471">
        <v>0</v>
      </c>
      <c r="J15" s="17"/>
    </row>
    <row r="16" spans="2:10" ht="18" customHeight="1" x14ac:dyDescent="0.25">
      <c r="B16" s="210" t="s">
        <v>145</v>
      </c>
      <c r="C16" s="471">
        <v>0</v>
      </c>
      <c r="F16" s="16"/>
    </row>
    <row r="17" spans="2:13" ht="18" customHeight="1" x14ac:dyDescent="0.2">
      <c r="B17" s="210" t="s">
        <v>136</v>
      </c>
      <c r="C17" s="471">
        <v>0</v>
      </c>
      <c r="E17" s="28"/>
      <c r="F17" s="28"/>
    </row>
    <row r="18" spans="2:13" ht="18" customHeight="1" x14ac:dyDescent="0.2">
      <c r="B18" s="210" t="s">
        <v>137</v>
      </c>
      <c r="C18" s="471">
        <v>0</v>
      </c>
      <c r="E18" s="21"/>
      <c r="F18" s="21"/>
    </row>
    <row r="19" spans="2:13" ht="18" customHeight="1" x14ac:dyDescent="0.2">
      <c r="B19" s="211" t="s">
        <v>179</v>
      </c>
      <c r="C19" s="471">
        <v>0</v>
      </c>
      <c r="E19" s="29"/>
      <c r="F19" s="30"/>
    </row>
    <row r="20" spans="2:13" ht="18" customHeight="1" thickBot="1" x14ac:dyDescent="0.25">
      <c r="B20" s="251" t="s">
        <v>262</v>
      </c>
      <c r="C20" s="472">
        <f>SUM(C14:C19)</f>
        <v>0</v>
      </c>
    </row>
    <row r="21" spans="2:13" s="17" customFormat="1" ht="18" customHeight="1" x14ac:dyDescent="0.2">
      <c r="B21" s="255" t="s">
        <v>438</v>
      </c>
      <c r="C21" s="256" t="s">
        <v>303</v>
      </c>
    </row>
    <row r="22" spans="2:13" ht="18" customHeight="1" x14ac:dyDescent="0.25">
      <c r="B22" s="210" t="s">
        <v>73</v>
      </c>
      <c r="C22" s="471">
        <v>0</v>
      </c>
      <c r="E22" s="17"/>
      <c r="F22" s="16"/>
    </row>
    <row r="23" spans="2:13" ht="18" customHeight="1" x14ac:dyDescent="0.2">
      <c r="B23" s="212" t="s">
        <v>131</v>
      </c>
      <c r="C23" s="471">
        <v>0</v>
      </c>
      <c r="E23" s="38"/>
      <c r="F23" s="18"/>
    </row>
    <row r="24" spans="2:13" ht="18" customHeight="1" x14ac:dyDescent="0.2">
      <c r="B24" s="210" t="s">
        <v>134</v>
      </c>
      <c r="C24" s="471">
        <v>0</v>
      </c>
      <c r="E24" s="21"/>
      <c r="F24" s="17"/>
    </row>
    <row r="25" spans="2:13" ht="18" customHeight="1" x14ac:dyDescent="0.2">
      <c r="B25" s="211" t="s">
        <v>180</v>
      </c>
      <c r="C25" s="471">
        <v>0</v>
      </c>
      <c r="L25" s="30"/>
      <c r="M25" s="17"/>
    </row>
    <row r="26" spans="2:13" ht="18" customHeight="1" thickBot="1" x14ac:dyDescent="0.25">
      <c r="B26" s="257" t="s">
        <v>262</v>
      </c>
      <c r="C26" s="473">
        <f>SUM(C22:C25)</f>
        <v>0</v>
      </c>
      <c r="E26" s="13"/>
      <c r="F26" s="40"/>
    </row>
    <row r="27" spans="2:13" s="17" customFormat="1" ht="18" customHeight="1" x14ac:dyDescent="0.2">
      <c r="B27" s="231" t="s">
        <v>305</v>
      </c>
      <c r="C27" s="254" t="s">
        <v>303</v>
      </c>
      <c r="E27" s="29"/>
      <c r="F27" s="30"/>
    </row>
    <row r="28" spans="2:13" ht="18" customHeight="1" x14ac:dyDescent="0.2">
      <c r="B28" s="210" t="s">
        <v>132</v>
      </c>
      <c r="C28" s="471">
        <v>0</v>
      </c>
      <c r="L28" s="30"/>
      <c r="M28" s="17"/>
    </row>
    <row r="29" spans="2:13" ht="18" customHeight="1" x14ac:dyDescent="0.2">
      <c r="B29" s="210" t="s">
        <v>133</v>
      </c>
      <c r="C29" s="471">
        <v>0</v>
      </c>
      <c r="L29" s="30"/>
      <c r="M29" s="17"/>
    </row>
    <row r="30" spans="2:13" ht="18" customHeight="1" x14ac:dyDescent="0.2">
      <c r="B30" s="210" t="s">
        <v>241</v>
      </c>
      <c r="C30" s="471">
        <v>0</v>
      </c>
      <c r="L30" s="30"/>
      <c r="M30" s="17"/>
    </row>
    <row r="31" spans="2:13" ht="18" customHeight="1" x14ac:dyDescent="0.2">
      <c r="B31" s="211" t="s">
        <v>181</v>
      </c>
      <c r="C31" s="471">
        <v>0</v>
      </c>
    </row>
    <row r="32" spans="2:13" s="17" customFormat="1" ht="18" customHeight="1" thickBot="1" x14ac:dyDescent="0.25">
      <c r="B32" s="251" t="s">
        <v>262</v>
      </c>
      <c r="C32" s="472">
        <f>SUM(C28:C31)</f>
        <v>0</v>
      </c>
      <c r="L32" s="30"/>
    </row>
    <row r="33" spans="2:12" s="17" customFormat="1" ht="18" customHeight="1" x14ac:dyDescent="0.2">
      <c r="B33" s="258" t="s">
        <v>306</v>
      </c>
      <c r="C33" s="256" t="s">
        <v>303</v>
      </c>
      <c r="L33" s="30"/>
    </row>
    <row r="34" spans="2:12" ht="18" customHeight="1" x14ac:dyDescent="0.2">
      <c r="B34" s="210" t="s">
        <v>53</v>
      </c>
      <c r="C34" s="471">
        <v>0</v>
      </c>
    </row>
    <row r="35" spans="2:12" ht="18" customHeight="1" x14ac:dyDescent="0.2">
      <c r="B35" s="210" t="s">
        <v>412</v>
      </c>
      <c r="C35" s="471">
        <v>0</v>
      </c>
    </row>
    <row r="36" spans="2:12" ht="18" customHeight="1" x14ac:dyDescent="0.2">
      <c r="B36" s="210" t="s">
        <v>67</v>
      </c>
      <c r="C36" s="471">
        <v>0</v>
      </c>
    </row>
    <row r="37" spans="2:12" ht="18" customHeight="1" x14ac:dyDescent="0.2">
      <c r="B37" s="210" t="s">
        <v>68</v>
      </c>
      <c r="C37" s="471">
        <v>0</v>
      </c>
    </row>
    <row r="38" spans="2:12" ht="18" customHeight="1" x14ac:dyDescent="0.2">
      <c r="B38" s="210" t="s">
        <v>69</v>
      </c>
      <c r="C38" s="471">
        <v>0</v>
      </c>
    </row>
    <row r="39" spans="2:12" ht="18" customHeight="1" x14ac:dyDescent="0.2">
      <c r="B39" s="210" t="s">
        <v>66</v>
      </c>
      <c r="C39" s="471">
        <v>0</v>
      </c>
    </row>
    <row r="40" spans="2:12" ht="18" customHeight="1" x14ac:dyDescent="0.2">
      <c r="B40" s="210" t="s">
        <v>0</v>
      </c>
      <c r="C40" s="471">
        <v>0</v>
      </c>
    </row>
    <row r="41" spans="2:12" ht="18" customHeight="1" x14ac:dyDescent="0.2">
      <c r="B41" s="211" t="s">
        <v>182</v>
      </c>
      <c r="C41" s="471">
        <v>0</v>
      </c>
    </row>
    <row r="42" spans="2:12" ht="18" customHeight="1" thickBot="1" x14ac:dyDescent="0.25">
      <c r="B42" s="257" t="s">
        <v>262</v>
      </c>
      <c r="C42" s="473">
        <f>SUM(C34:C41)</f>
        <v>0</v>
      </c>
    </row>
    <row r="43" spans="2:12" s="17" customFormat="1" ht="18" customHeight="1" x14ac:dyDescent="0.2">
      <c r="B43" s="259" t="s">
        <v>307</v>
      </c>
      <c r="C43" s="254" t="s">
        <v>303</v>
      </c>
    </row>
    <row r="44" spans="2:12" ht="18" customHeight="1" x14ac:dyDescent="0.2">
      <c r="B44" s="210" t="s">
        <v>58</v>
      </c>
      <c r="C44" s="471">
        <v>0</v>
      </c>
    </row>
    <row r="45" spans="2:12" ht="18" customHeight="1" x14ac:dyDescent="0.2">
      <c r="B45" s="210" t="s">
        <v>12</v>
      </c>
      <c r="C45" s="471">
        <v>0</v>
      </c>
    </row>
    <row r="46" spans="2:12" ht="18" customHeight="1" x14ac:dyDescent="0.2">
      <c r="B46" s="211" t="s">
        <v>183</v>
      </c>
      <c r="C46" s="471">
        <v>0</v>
      </c>
    </row>
    <row r="47" spans="2:12" ht="18" customHeight="1" thickBot="1" x14ac:dyDescent="0.25">
      <c r="B47" s="251" t="s">
        <v>262</v>
      </c>
      <c r="C47" s="472">
        <f>SUM(C44:C46)</f>
        <v>0</v>
      </c>
    </row>
    <row r="48" spans="2:12" s="17" customFormat="1" ht="18" customHeight="1" x14ac:dyDescent="0.2">
      <c r="B48" s="258" t="s">
        <v>309</v>
      </c>
      <c r="C48" s="256" t="s">
        <v>303</v>
      </c>
    </row>
    <row r="49" spans="2:4" ht="18" customHeight="1" x14ac:dyDescent="0.2">
      <c r="B49" s="210" t="s">
        <v>59</v>
      </c>
      <c r="C49" s="471">
        <v>0</v>
      </c>
    </row>
    <row r="50" spans="2:4" ht="18" customHeight="1" x14ac:dyDescent="0.2">
      <c r="B50" s="210" t="s">
        <v>243</v>
      </c>
      <c r="C50" s="471">
        <v>0</v>
      </c>
    </row>
    <row r="51" spans="2:4" ht="18" customHeight="1" x14ac:dyDescent="0.2">
      <c r="B51" s="210" t="s">
        <v>114</v>
      </c>
      <c r="C51" s="471">
        <v>0</v>
      </c>
      <c r="D51" t="s">
        <v>143</v>
      </c>
    </row>
    <row r="52" spans="2:4" ht="18" customHeight="1" x14ac:dyDescent="0.2">
      <c r="B52" s="210" t="s">
        <v>115</v>
      </c>
      <c r="C52" s="471">
        <v>0</v>
      </c>
      <c r="D52" t="s">
        <v>143</v>
      </c>
    </row>
    <row r="53" spans="2:4" ht="18" customHeight="1" x14ac:dyDescent="0.2">
      <c r="B53" s="212" t="s">
        <v>60</v>
      </c>
      <c r="C53" s="471">
        <v>0</v>
      </c>
    </row>
    <row r="54" spans="2:4" ht="18" customHeight="1" x14ac:dyDescent="0.2">
      <c r="B54" s="212" t="s">
        <v>242</v>
      </c>
      <c r="C54" s="471">
        <v>0</v>
      </c>
    </row>
    <row r="55" spans="2:4" ht="18" customHeight="1" x14ac:dyDescent="0.2">
      <c r="B55" s="211" t="s">
        <v>184</v>
      </c>
      <c r="C55" s="471">
        <v>0</v>
      </c>
    </row>
    <row r="56" spans="2:4" ht="18" customHeight="1" thickBot="1" x14ac:dyDescent="0.25">
      <c r="B56" s="257" t="s">
        <v>262</v>
      </c>
      <c r="C56" s="473">
        <f>SUM(C49:C55)</f>
        <v>0</v>
      </c>
    </row>
    <row r="57" spans="2:4" s="17" customFormat="1" ht="18" customHeight="1" x14ac:dyDescent="0.2">
      <c r="B57" s="259" t="s">
        <v>310</v>
      </c>
      <c r="C57" s="254" t="s">
        <v>303</v>
      </c>
    </row>
    <row r="58" spans="2:4" ht="18" customHeight="1" x14ac:dyDescent="0.2">
      <c r="B58" s="212" t="s">
        <v>61</v>
      </c>
      <c r="C58" s="471">
        <v>0</v>
      </c>
    </row>
    <row r="59" spans="2:4" ht="18" customHeight="1" x14ac:dyDescent="0.2">
      <c r="B59" s="212" t="s">
        <v>62</v>
      </c>
      <c r="C59" s="471">
        <v>0</v>
      </c>
    </row>
    <row r="60" spans="2:4" ht="18" customHeight="1" x14ac:dyDescent="0.2">
      <c r="B60" s="210" t="s">
        <v>63</v>
      </c>
      <c r="C60" s="471">
        <v>0</v>
      </c>
    </row>
    <row r="61" spans="2:4" ht="18" customHeight="1" x14ac:dyDescent="0.2">
      <c r="B61" s="210" t="s">
        <v>64</v>
      </c>
      <c r="C61" s="471">
        <v>0</v>
      </c>
    </row>
    <row r="62" spans="2:4" ht="18" customHeight="1" x14ac:dyDescent="0.2">
      <c r="B62" s="211" t="s">
        <v>65</v>
      </c>
      <c r="C62" s="471">
        <v>0</v>
      </c>
    </row>
    <row r="63" spans="2:4" ht="18" customHeight="1" thickBot="1" x14ac:dyDescent="0.25">
      <c r="B63" s="251" t="s">
        <v>262</v>
      </c>
      <c r="C63" s="472">
        <f>SUM(C58:C62)</f>
        <v>0</v>
      </c>
    </row>
    <row r="64" spans="2:4" s="17" customFormat="1" ht="18" customHeight="1" x14ac:dyDescent="0.2">
      <c r="B64" s="258" t="s">
        <v>311</v>
      </c>
      <c r="C64" s="256" t="s">
        <v>303</v>
      </c>
    </row>
    <row r="65" spans="2:4" ht="18" customHeight="1" x14ac:dyDescent="0.2">
      <c r="B65" s="211" t="s">
        <v>88</v>
      </c>
      <c r="C65" s="474">
        <v>0</v>
      </c>
    </row>
    <row r="66" spans="2:4" ht="18" customHeight="1" x14ac:dyDescent="0.2">
      <c r="B66" s="211" t="s">
        <v>88</v>
      </c>
      <c r="C66" s="474">
        <v>0</v>
      </c>
    </row>
    <row r="67" spans="2:4" ht="18" customHeight="1" thickBot="1" x14ac:dyDescent="0.25">
      <c r="B67" s="251" t="s">
        <v>262</v>
      </c>
      <c r="C67" s="475">
        <f>SUM(C65:C66)</f>
        <v>0</v>
      </c>
    </row>
    <row r="68" spans="2:4" s="17" customFormat="1" ht="18" customHeight="1" x14ac:dyDescent="0.2">
      <c r="B68" s="39"/>
      <c r="C68" s="229"/>
    </row>
    <row r="69" spans="2:4" ht="18" customHeight="1" x14ac:dyDescent="0.2">
      <c r="B69" s="39" t="s">
        <v>18</v>
      </c>
      <c r="C69" s="476">
        <f>SUM(C12,C20,C26,C32,C42,C47,C56,C63,C67)</f>
        <v>0</v>
      </c>
    </row>
    <row r="72" spans="2:4" ht="21" x14ac:dyDescent="0.25">
      <c r="D72" s="8"/>
    </row>
  </sheetData>
  <sheetProtection selectLockedCells="1"/>
  <mergeCells count="1">
    <mergeCell ref="D2:E2"/>
  </mergeCells>
  <phoneticPr fontId="38" type="noConversion"/>
  <hyperlinks>
    <hyperlink ref="B72:C72" location="'Non-Cash Overheads'!A1" display="Click Here to go to OVERHEADS PART II" xr:uid="{00000000-0004-0000-0200-000000000000}"/>
  </hyperlinks>
  <pageMargins left="0.7" right="0.7" top="0.75" bottom="0.75" header="0.3" footer="0.3"/>
  <pageSetup scale="3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B0F0"/>
    <pageSetUpPr fitToPage="1"/>
  </sheetPr>
  <dimension ref="B1:H178"/>
  <sheetViews>
    <sheetView showGridLines="0" zoomScaleNormal="100" workbookViewId="0">
      <pane ySplit="2" topLeftCell="A68" activePane="bottomLeft" state="frozen"/>
      <selection pane="bottomLeft" activeCell="B76" sqref="B76"/>
    </sheetView>
  </sheetViews>
  <sheetFormatPr baseColWidth="10" defaultColWidth="8.83203125" defaultRowHeight="15" x14ac:dyDescent="0.2"/>
  <cols>
    <col min="1" max="1" width="3.33203125" customWidth="1"/>
    <col min="2" max="2" width="51.83203125" customWidth="1"/>
    <col min="3" max="5" width="25.83203125" customWidth="1"/>
    <col min="6" max="6" width="24.6640625" bestFit="1" customWidth="1"/>
    <col min="7" max="7" width="34.83203125" customWidth="1"/>
    <col min="8" max="8" width="7" customWidth="1"/>
    <col min="9" max="9" width="2.6640625" customWidth="1"/>
    <col min="15" max="15" width="20.33203125" customWidth="1"/>
  </cols>
  <sheetData>
    <row r="1" spans="2:8" ht="10" customHeight="1" thickBot="1" x14ac:dyDescent="0.3">
      <c r="B1" s="55"/>
      <c r="C1" s="7"/>
    </row>
    <row r="2" spans="2:8" ht="27" thickBot="1" x14ac:dyDescent="0.35">
      <c r="B2" s="609" t="s">
        <v>290</v>
      </c>
      <c r="C2" s="610"/>
      <c r="D2" s="214"/>
      <c r="E2" s="214"/>
      <c r="F2" s="602" t="s">
        <v>89</v>
      </c>
      <c r="G2" s="602"/>
      <c r="H2" s="214"/>
    </row>
    <row r="3" spans="2:8" ht="18" customHeight="1" x14ac:dyDescent="0.2"/>
    <row r="4" spans="2:8" ht="18" customHeight="1" x14ac:dyDescent="0.2"/>
    <row r="5" spans="2:8" ht="18" customHeight="1" x14ac:dyDescent="0.2"/>
    <row r="6" spans="2:8" ht="18" customHeight="1" x14ac:dyDescent="0.2"/>
    <row r="7" spans="2:8" ht="18" customHeight="1" x14ac:dyDescent="0.2"/>
    <row r="8" spans="2:8" ht="18" customHeight="1" x14ac:dyDescent="0.2"/>
    <row r="9" spans="2:8" ht="18" customHeight="1" x14ac:dyDescent="0.2"/>
    <row r="10" spans="2:8" ht="18" customHeight="1" x14ac:dyDescent="0.2"/>
    <row r="11" spans="2:8" ht="18" customHeight="1" x14ac:dyDescent="0.2"/>
    <row r="12" spans="2:8" ht="18" customHeight="1" thickBot="1" x14ac:dyDescent="0.25"/>
    <row r="13" spans="2:8" ht="18" customHeight="1" x14ac:dyDescent="0.2">
      <c r="B13" s="231" t="s">
        <v>293</v>
      </c>
      <c r="C13" s="232" t="s">
        <v>117</v>
      </c>
      <c r="D13" s="240" t="s">
        <v>13</v>
      </c>
      <c r="E13" s="437" t="s">
        <v>409</v>
      </c>
      <c r="F13" s="233" t="s">
        <v>28</v>
      </c>
    </row>
    <row r="14" spans="2:8" ht="18" customHeight="1" x14ac:dyDescent="0.2">
      <c r="B14" s="127" t="s">
        <v>29</v>
      </c>
      <c r="C14" s="477">
        <v>0</v>
      </c>
      <c r="D14" s="485">
        <v>40</v>
      </c>
      <c r="E14" s="438">
        <v>0</v>
      </c>
      <c r="F14" s="481">
        <f>(C14-E14)/D14</f>
        <v>0</v>
      </c>
    </row>
    <row r="15" spans="2:8" ht="18" customHeight="1" x14ac:dyDescent="0.2">
      <c r="B15" s="127" t="s">
        <v>30</v>
      </c>
      <c r="C15" s="477">
        <v>0</v>
      </c>
      <c r="D15" s="485">
        <v>15</v>
      </c>
      <c r="E15" s="438">
        <v>0</v>
      </c>
      <c r="F15" s="481">
        <f t="shared" ref="F15:F20" si="0">(C15-E15)/D15</f>
        <v>0</v>
      </c>
    </row>
    <row r="16" spans="2:8" ht="18" customHeight="1" x14ac:dyDescent="0.2">
      <c r="B16" s="127" t="s">
        <v>31</v>
      </c>
      <c r="C16" s="477">
        <v>0</v>
      </c>
      <c r="D16" s="485">
        <v>20</v>
      </c>
      <c r="E16" s="438">
        <v>0</v>
      </c>
      <c r="F16" s="481">
        <f t="shared" si="0"/>
        <v>0</v>
      </c>
    </row>
    <row r="17" spans="2:8" ht="18" customHeight="1" x14ac:dyDescent="0.2">
      <c r="B17" s="127" t="s">
        <v>32</v>
      </c>
      <c r="C17" s="477">
        <v>0</v>
      </c>
      <c r="D17" s="485">
        <v>30</v>
      </c>
      <c r="E17" s="438">
        <v>0</v>
      </c>
      <c r="F17" s="481">
        <f t="shared" si="0"/>
        <v>0</v>
      </c>
    </row>
    <row r="18" spans="2:8" ht="18" customHeight="1" x14ac:dyDescent="0.2">
      <c r="B18" s="127" t="s">
        <v>33</v>
      </c>
      <c r="C18" s="477">
        <v>0</v>
      </c>
      <c r="D18" s="485">
        <v>30</v>
      </c>
      <c r="E18" s="438">
        <v>0</v>
      </c>
      <c r="F18" s="481">
        <f t="shared" si="0"/>
        <v>0</v>
      </c>
    </row>
    <row r="19" spans="2:8" ht="18" customHeight="1" x14ac:dyDescent="0.2">
      <c r="B19" s="127" t="s">
        <v>34</v>
      </c>
      <c r="C19" s="477">
        <v>0</v>
      </c>
      <c r="D19" s="485">
        <v>20</v>
      </c>
      <c r="E19" s="438">
        <v>0</v>
      </c>
      <c r="F19" s="481">
        <f t="shared" si="0"/>
        <v>0</v>
      </c>
      <c r="H19" s="17"/>
    </row>
    <row r="20" spans="2:8" ht="18" customHeight="1" x14ac:dyDescent="0.2">
      <c r="B20" s="92" t="s">
        <v>185</v>
      </c>
      <c r="C20" s="477">
        <v>0</v>
      </c>
      <c r="D20" s="485">
        <v>20</v>
      </c>
      <c r="E20" s="438">
        <v>0</v>
      </c>
      <c r="F20" s="481">
        <f t="shared" si="0"/>
        <v>0</v>
      </c>
    </row>
    <row r="21" spans="2:8" s="161" customFormat="1" ht="18" customHeight="1" thickBot="1" x14ac:dyDescent="0.25">
      <c r="B21" s="158" t="s">
        <v>262</v>
      </c>
      <c r="C21" s="478">
        <f>SUM(C14:C20)</f>
        <v>0</v>
      </c>
      <c r="D21" s="243"/>
      <c r="E21" s="439"/>
      <c r="F21" s="482">
        <f>IFERROR(SUM(F14:F20),0)</f>
        <v>0</v>
      </c>
    </row>
    <row r="22" spans="2:8" s="161" customFormat="1" ht="18" customHeight="1" x14ac:dyDescent="0.2">
      <c r="B22" s="231" t="s">
        <v>294</v>
      </c>
      <c r="C22" s="232" t="s">
        <v>117</v>
      </c>
      <c r="D22" s="240" t="s">
        <v>13</v>
      </c>
      <c r="E22" s="440"/>
      <c r="F22" s="233" t="s">
        <v>28</v>
      </c>
    </row>
    <row r="23" spans="2:8" ht="18" customHeight="1" x14ac:dyDescent="0.2">
      <c r="B23" s="127" t="s">
        <v>35</v>
      </c>
      <c r="C23" s="477">
        <v>0</v>
      </c>
      <c r="D23" s="485">
        <v>10</v>
      </c>
      <c r="E23" s="438">
        <v>0</v>
      </c>
      <c r="F23" s="481">
        <f>(C23-E23)/D23</f>
        <v>0</v>
      </c>
    </row>
    <row r="24" spans="2:8" ht="18" customHeight="1" x14ac:dyDescent="0.2">
      <c r="B24" s="127" t="s">
        <v>36</v>
      </c>
      <c r="C24" s="477">
        <v>0</v>
      </c>
      <c r="D24" s="485">
        <v>10</v>
      </c>
      <c r="E24" s="438">
        <v>0</v>
      </c>
      <c r="F24" s="481">
        <f t="shared" ref="F24:F27" si="1">(C24-E24)/D24</f>
        <v>0</v>
      </c>
    </row>
    <row r="25" spans="2:8" ht="18" customHeight="1" x14ac:dyDescent="0.2">
      <c r="B25" s="127" t="s">
        <v>37</v>
      </c>
      <c r="C25" s="477">
        <v>0</v>
      </c>
      <c r="D25" s="485">
        <v>10</v>
      </c>
      <c r="E25" s="438">
        <v>0</v>
      </c>
      <c r="F25" s="481">
        <f t="shared" si="1"/>
        <v>0</v>
      </c>
    </row>
    <row r="26" spans="2:8" ht="18" customHeight="1" x14ac:dyDescent="0.2">
      <c r="B26" s="127" t="s">
        <v>139</v>
      </c>
      <c r="C26" s="477">
        <v>0</v>
      </c>
      <c r="D26" s="485">
        <v>10</v>
      </c>
      <c r="E26" s="438">
        <v>0</v>
      </c>
      <c r="F26" s="481">
        <f t="shared" si="1"/>
        <v>0</v>
      </c>
    </row>
    <row r="27" spans="2:8" ht="18" customHeight="1" x14ac:dyDescent="0.2">
      <c r="B27" s="92" t="s">
        <v>186</v>
      </c>
      <c r="C27" s="477">
        <v>0</v>
      </c>
      <c r="D27" s="485">
        <v>10</v>
      </c>
      <c r="E27" s="438">
        <v>0</v>
      </c>
      <c r="F27" s="481">
        <f t="shared" si="1"/>
        <v>0</v>
      </c>
    </row>
    <row r="28" spans="2:8" s="161" customFormat="1" ht="18" customHeight="1" thickBot="1" x14ac:dyDescent="0.25">
      <c r="B28" s="158" t="s">
        <v>262</v>
      </c>
      <c r="C28" s="478">
        <f>SUM(C23:C27)</f>
        <v>0</v>
      </c>
      <c r="D28" s="241"/>
      <c r="E28" s="439"/>
      <c r="F28" s="482">
        <f>IFERROR(SUM(F23:F27),0)</f>
        <v>0</v>
      </c>
    </row>
    <row r="29" spans="2:8" s="161" customFormat="1" ht="18" customHeight="1" x14ac:dyDescent="0.2">
      <c r="B29" s="231" t="s">
        <v>295</v>
      </c>
      <c r="C29" s="232" t="s">
        <v>117</v>
      </c>
      <c r="D29" s="240" t="s">
        <v>13</v>
      </c>
      <c r="E29" s="440"/>
      <c r="F29" s="233" t="s">
        <v>28</v>
      </c>
    </row>
    <row r="30" spans="2:8" ht="18" customHeight="1" x14ac:dyDescent="0.2">
      <c r="B30" s="127" t="s">
        <v>245</v>
      </c>
      <c r="C30" s="477">
        <v>0</v>
      </c>
      <c r="D30" s="485">
        <v>5</v>
      </c>
      <c r="E30" s="438">
        <v>0</v>
      </c>
      <c r="F30" s="481">
        <f>(C30-E30)/D30</f>
        <v>0</v>
      </c>
    </row>
    <row r="31" spans="2:8" ht="18" customHeight="1" x14ac:dyDescent="0.2">
      <c r="B31" s="127" t="s">
        <v>246</v>
      </c>
      <c r="C31" s="477">
        <v>0</v>
      </c>
      <c r="D31" s="485">
        <v>5</v>
      </c>
      <c r="E31" s="438">
        <v>0</v>
      </c>
      <c r="F31" s="481">
        <f t="shared" ref="F31:F35" si="2">(C31-E31)/D31</f>
        <v>0</v>
      </c>
    </row>
    <row r="32" spans="2:8" ht="18" customHeight="1" x14ac:dyDescent="0.2">
      <c r="B32" s="127" t="s">
        <v>140</v>
      </c>
      <c r="C32" s="477">
        <v>0</v>
      </c>
      <c r="D32" s="485">
        <v>5</v>
      </c>
      <c r="E32" s="438">
        <v>0</v>
      </c>
      <c r="F32" s="481">
        <f t="shared" si="2"/>
        <v>0</v>
      </c>
    </row>
    <row r="33" spans="2:6" ht="18" customHeight="1" x14ac:dyDescent="0.2">
      <c r="B33" s="127" t="s">
        <v>38</v>
      </c>
      <c r="C33" s="477">
        <v>0</v>
      </c>
      <c r="D33" s="485">
        <v>5</v>
      </c>
      <c r="E33" s="438">
        <v>0</v>
      </c>
      <c r="F33" s="481">
        <f t="shared" si="2"/>
        <v>0</v>
      </c>
    </row>
    <row r="34" spans="2:6" ht="18" customHeight="1" x14ac:dyDescent="0.2">
      <c r="B34" s="127" t="s">
        <v>39</v>
      </c>
      <c r="C34" s="477">
        <v>0</v>
      </c>
      <c r="D34" s="485">
        <v>5</v>
      </c>
      <c r="E34" s="438">
        <v>0</v>
      </c>
      <c r="F34" s="481">
        <f t="shared" si="2"/>
        <v>0</v>
      </c>
    </row>
    <row r="35" spans="2:6" ht="18" customHeight="1" x14ac:dyDescent="0.2">
      <c r="B35" s="92" t="s">
        <v>187</v>
      </c>
      <c r="C35" s="477">
        <v>0</v>
      </c>
      <c r="D35" s="485">
        <v>5</v>
      </c>
      <c r="E35" s="438">
        <v>0</v>
      </c>
      <c r="F35" s="481">
        <f t="shared" si="2"/>
        <v>0</v>
      </c>
    </row>
    <row r="36" spans="2:6" s="161" customFormat="1" ht="18" customHeight="1" thickBot="1" x14ac:dyDescent="0.25">
      <c r="B36" s="158" t="s">
        <v>262</v>
      </c>
      <c r="C36" s="478">
        <f>SUM(C30:C35)</f>
        <v>0</v>
      </c>
      <c r="D36" s="241"/>
      <c r="E36" s="439"/>
      <c r="F36" s="482">
        <f>IFERROR(SUM(F30:F35),0)</f>
        <v>0</v>
      </c>
    </row>
    <row r="37" spans="2:6" s="161" customFormat="1" ht="18" customHeight="1" x14ac:dyDescent="0.2">
      <c r="B37" s="231" t="s">
        <v>299</v>
      </c>
      <c r="C37" s="238" t="s">
        <v>296</v>
      </c>
      <c r="D37" s="247" t="s">
        <v>297</v>
      </c>
      <c r="E37" s="441"/>
      <c r="F37" s="239" t="s">
        <v>298</v>
      </c>
    </row>
    <row r="38" spans="2:6" ht="18" customHeight="1" x14ac:dyDescent="0.2">
      <c r="B38" s="127" t="s">
        <v>40</v>
      </c>
      <c r="C38" s="477">
        <v>0</v>
      </c>
      <c r="D38" s="485">
        <v>30</v>
      </c>
      <c r="E38" s="438">
        <v>0</v>
      </c>
      <c r="F38" s="481">
        <f>(C38-E38)/D38</f>
        <v>0</v>
      </c>
    </row>
    <row r="39" spans="2:6" ht="18" customHeight="1" x14ac:dyDescent="0.2">
      <c r="B39" s="127" t="s">
        <v>24</v>
      </c>
      <c r="C39" s="477">
        <v>0</v>
      </c>
      <c r="D39" s="485">
        <v>2</v>
      </c>
      <c r="E39" s="438">
        <v>0</v>
      </c>
      <c r="F39" s="481">
        <f t="shared" ref="F39:F43" si="3">(C39-E39)/D39</f>
        <v>0</v>
      </c>
    </row>
    <row r="40" spans="2:6" ht="18" customHeight="1" x14ac:dyDescent="0.2">
      <c r="B40" s="127" t="s">
        <v>16</v>
      </c>
      <c r="C40" s="477">
        <v>0</v>
      </c>
      <c r="D40" s="485">
        <v>10</v>
      </c>
      <c r="E40" s="438">
        <v>0</v>
      </c>
      <c r="F40" s="481">
        <f t="shared" si="3"/>
        <v>0</v>
      </c>
    </row>
    <row r="41" spans="2:6" ht="18" customHeight="1" x14ac:dyDescent="0.2">
      <c r="B41" s="127" t="s">
        <v>41</v>
      </c>
      <c r="C41" s="477">
        <v>0</v>
      </c>
      <c r="D41" s="485">
        <v>10</v>
      </c>
      <c r="E41" s="438">
        <v>0</v>
      </c>
      <c r="F41" s="481">
        <f t="shared" si="3"/>
        <v>0</v>
      </c>
    </row>
    <row r="42" spans="2:6" ht="18" customHeight="1" x14ac:dyDescent="0.2">
      <c r="B42" s="127" t="s">
        <v>42</v>
      </c>
      <c r="C42" s="477">
        <v>0</v>
      </c>
      <c r="D42" s="485">
        <v>30</v>
      </c>
      <c r="E42" s="438">
        <v>0</v>
      </c>
      <c r="F42" s="481">
        <f t="shared" si="3"/>
        <v>0</v>
      </c>
    </row>
    <row r="43" spans="2:6" ht="18" customHeight="1" x14ac:dyDescent="0.2">
      <c r="B43" s="92" t="s">
        <v>188</v>
      </c>
      <c r="C43" s="477">
        <v>0</v>
      </c>
      <c r="D43" s="485">
        <v>10</v>
      </c>
      <c r="E43" s="438">
        <v>0</v>
      </c>
      <c r="F43" s="481">
        <f t="shared" si="3"/>
        <v>0</v>
      </c>
    </row>
    <row r="44" spans="2:6" s="161" customFormat="1" ht="18" customHeight="1" thickBot="1" x14ac:dyDescent="0.25">
      <c r="B44" s="237" t="s">
        <v>262</v>
      </c>
      <c r="C44" s="479">
        <f>SUM(C38:C43)</f>
        <v>0</v>
      </c>
      <c r="D44" s="248"/>
      <c r="E44" s="442"/>
      <c r="F44" s="483">
        <f>IFERROR(SUM(F38:F43),0)</f>
        <v>0</v>
      </c>
    </row>
    <row r="45" spans="2:6" s="161" customFormat="1" ht="18" customHeight="1" x14ac:dyDescent="0.2">
      <c r="B45" s="249" t="s">
        <v>405</v>
      </c>
      <c r="C45" s="238" t="s">
        <v>296</v>
      </c>
      <c r="D45" s="247" t="s">
        <v>297</v>
      </c>
      <c r="E45" s="441"/>
      <c r="F45" s="239" t="s">
        <v>298</v>
      </c>
    </row>
    <row r="46" spans="2:6" ht="18" customHeight="1" x14ac:dyDescent="0.2">
      <c r="B46" s="127" t="s">
        <v>406</v>
      </c>
      <c r="C46" s="477">
        <v>0</v>
      </c>
      <c r="D46" s="485">
        <v>8</v>
      </c>
      <c r="E46" s="438">
        <v>0</v>
      </c>
      <c r="F46" s="481">
        <f>(C46-E46)/D46</f>
        <v>0</v>
      </c>
    </row>
    <row r="47" spans="2:6" ht="18" customHeight="1" x14ac:dyDescent="0.2">
      <c r="B47" s="128" t="s">
        <v>407</v>
      </c>
      <c r="C47" s="480">
        <v>0</v>
      </c>
      <c r="D47" s="486">
        <v>20</v>
      </c>
      <c r="E47" s="443">
        <v>0</v>
      </c>
      <c r="F47" s="481">
        <f t="shared" ref="F47:F49" si="4">(C47-E47)/D47</f>
        <v>0</v>
      </c>
    </row>
    <row r="48" spans="2:6" ht="18" customHeight="1" x14ac:dyDescent="0.2">
      <c r="B48" s="436" t="s">
        <v>408</v>
      </c>
      <c r="C48" s="480">
        <v>0</v>
      </c>
      <c r="D48" s="486">
        <v>10</v>
      </c>
      <c r="E48" s="443">
        <v>0</v>
      </c>
      <c r="F48" s="481">
        <f t="shared" si="4"/>
        <v>0</v>
      </c>
    </row>
    <row r="49" spans="2:6" ht="18" customHeight="1" x14ac:dyDescent="0.2">
      <c r="B49" s="436" t="s">
        <v>408</v>
      </c>
      <c r="C49" s="480">
        <v>0</v>
      </c>
      <c r="D49" s="486">
        <v>10</v>
      </c>
      <c r="E49" s="443">
        <v>0</v>
      </c>
      <c r="F49" s="481">
        <f t="shared" si="4"/>
        <v>0</v>
      </c>
    </row>
    <row r="50" spans="2:6" s="161" customFormat="1" ht="18" customHeight="1" thickBot="1" x14ac:dyDescent="0.25">
      <c r="B50" s="158" t="s">
        <v>262</v>
      </c>
      <c r="C50" s="478">
        <f>SUM(C46:C49)</f>
        <v>0</v>
      </c>
      <c r="D50" s="250"/>
      <c r="E50" s="444"/>
      <c r="F50" s="482">
        <f>IFERROR(SUM(F46:F49),0)</f>
        <v>0</v>
      </c>
    </row>
    <row r="51" spans="2:6" s="161" customFormat="1" ht="18" customHeight="1" x14ac:dyDescent="0.2">
      <c r="B51" s="231" t="s">
        <v>410</v>
      </c>
      <c r="C51" s="238" t="s">
        <v>296</v>
      </c>
      <c r="D51" s="247" t="s">
        <v>297</v>
      </c>
      <c r="E51" s="441"/>
      <c r="F51" s="239" t="s">
        <v>298</v>
      </c>
    </row>
    <row r="52" spans="2:6" ht="18" customHeight="1" x14ac:dyDescent="0.2">
      <c r="B52" s="209" t="s">
        <v>43</v>
      </c>
      <c r="C52" s="477">
        <v>0</v>
      </c>
      <c r="D52" s="485">
        <v>40</v>
      </c>
      <c r="E52" s="438">
        <v>0</v>
      </c>
      <c r="F52" s="481">
        <f>(C52-E52)/D52</f>
        <v>0</v>
      </c>
    </row>
    <row r="53" spans="2:6" ht="18" customHeight="1" x14ac:dyDescent="0.2">
      <c r="B53" s="209" t="s">
        <v>44</v>
      </c>
      <c r="C53" s="477">
        <v>0</v>
      </c>
      <c r="D53" s="485">
        <v>20</v>
      </c>
      <c r="E53" s="438">
        <v>0</v>
      </c>
      <c r="F53" s="481">
        <f t="shared" ref="F53:F64" si="5">(C53-E53)/D53</f>
        <v>0</v>
      </c>
    </row>
    <row r="54" spans="2:6" ht="18" customHeight="1" x14ac:dyDescent="0.2">
      <c r="B54" s="209" t="s">
        <v>45</v>
      </c>
      <c r="C54" s="477">
        <v>0</v>
      </c>
      <c r="D54" s="485">
        <v>10</v>
      </c>
      <c r="E54" s="438">
        <v>0</v>
      </c>
      <c r="F54" s="481">
        <f t="shared" si="5"/>
        <v>0</v>
      </c>
    </row>
    <row r="55" spans="2:6" ht="18" customHeight="1" x14ac:dyDescent="0.2">
      <c r="B55" s="127" t="s">
        <v>121</v>
      </c>
      <c r="C55" s="477">
        <v>0</v>
      </c>
      <c r="D55" s="485">
        <v>10</v>
      </c>
      <c r="E55" s="438">
        <v>0</v>
      </c>
      <c r="F55" s="481">
        <f t="shared" si="5"/>
        <v>0</v>
      </c>
    </row>
    <row r="56" spans="2:6" ht="18" customHeight="1" x14ac:dyDescent="0.2">
      <c r="B56" s="127" t="s">
        <v>122</v>
      </c>
      <c r="C56" s="477">
        <v>0</v>
      </c>
      <c r="D56" s="485">
        <v>10</v>
      </c>
      <c r="E56" s="438">
        <v>0</v>
      </c>
      <c r="F56" s="481">
        <f t="shared" si="5"/>
        <v>0</v>
      </c>
    </row>
    <row r="57" spans="2:6" ht="18" customHeight="1" x14ac:dyDescent="0.2">
      <c r="B57" s="127" t="s">
        <v>123</v>
      </c>
      <c r="C57" s="477">
        <v>0</v>
      </c>
      <c r="D57" s="485">
        <v>10</v>
      </c>
      <c r="E57" s="438">
        <v>0</v>
      </c>
      <c r="F57" s="481">
        <f t="shared" si="5"/>
        <v>0</v>
      </c>
    </row>
    <row r="58" spans="2:6" ht="18" customHeight="1" x14ac:dyDescent="0.2">
      <c r="B58" s="127" t="s">
        <v>124</v>
      </c>
      <c r="C58" s="477">
        <v>0</v>
      </c>
      <c r="D58" s="485">
        <v>10</v>
      </c>
      <c r="E58" s="438">
        <v>0</v>
      </c>
      <c r="F58" s="481">
        <f t="shared" si="5"/>
        <v>0</v>
      </c>
    </row>
    <row r="59" spans="2:6" ht="18" customHeight="1" x14ac:dyDescent="0.2">
      <c r="B59" s="127" t="s">
        <v>125</v>
      </c>
      <c r="C59" s="477">
        <v>0</v>
      </c>
      <c r="D59" s="485">
        <v>10</v>
      </c>
      <c r="E59" s="438">
        <v>0</v>
      </c>
      <c r="F59" s="481">
        <f t="shared" si="5"/>
        <v>0</v>
      </c>
    </row>
    <row r="60" spans="2:6" ht="18" customHeight="1" x14ac:dyDescent="0.2">
      <c r="B60" s="127" t="s">
        <v>126</v>
      </c>
      <c r="C60" s="477">
        <v>0</v>
      </c>
      <c r="D60" s="485">
        <v>10</v>
      </c>
      <c r="E60" s="438">
        <v>0</v>
      </c>
      <c r="F60" s="481">
        <f t="shared" si="5"/>
        <v>0</v>
      </c>
    </row>
    <row r="61" spans="2:6" ht="18" customHeight="1" x14ac:dyDescent="0.2">
      <c r="B61" s="127" t="s">
        <v>127</v>
      </c>
      <c r="C61" s="477">
        <v>0</v>
      </c>
      <c r="D61" s="485">
        <v>10</v>
      </c>
      <c r="E61" s="438">
        <v>0</v>
      </c>
      <c r="F61" s="481">
        <f t="shared" si="5"/>
        <v>0</v>
      </c>
    </row>
    <row r="62" spans="2:6" ht="18" customHeight="1" x14ac:dyDescent="0.2">
      <c r="B62" s="92" t="s">
        <v>144</v>
      </c>
      <c r="C62" s="477">
        <v>0</v>
      </c>
      <c r="D62" s="485">
        <v>10</v>
      </c>
      <c r="E62" s="438">
        <v>0</v>
      </c>
      <c r="F62" s="481">
        <f t="shared" si="5"/>
        <v>0</v>
      </c>
    </row>
    <row r="63" spans="2:6" ht="18" customHeight="1" x14ac:dyDescent="0.2">
      <c r="B63" s="92" t="s">
        <v>144</v>
      </c>
      <c r="C63" s="477">
        <v>0</v>
      </c>
      <c r="D63" s="485">
        <v>10</v>
      </c>
      <c r="E63" s="438">
        <v>0</v>
      </c>
      <c r="F63" s="481">
        <f t="shared" si="5"/>
        <v>0</v>
      </c>
    </row>
    <row r="64" spans="2:6" ht="18" customHeight="1" x14ac:dyDescent="0.2">
      <c r="B64" s="92" t="s">
        <v>144</v>
      </c>
      <c r="C64" s="477">
        <v>0</v>
      </c>
      <c r="D64" s="485">
        <v>10</v>
      </c>
      <c r="E64" s="438">
        <v>0</v>
      </c>
      <c r="F64" s="481">
        <f t="shared" si="5"/>
        <v>0</v>
      </c>
    </row>
    <row r="65" spans="2:6" s="161" customFormat="1" ht="18" customHeight="1" thickBot="1" x14ac:dyDescent="0.25">
      <c r="B65" s="158" t="s">
        <v>262</v>
      </c>
      <c r="C65" s="478">
        <f>SUM(C52:C64)</f>
        <v>0</v>
      </c>
      <c r="D65" s="241"/>
      <c r="E65" s="439"/>
      <c r="F65" s="482">
        <f>IFERROR(SUM(F52:F64),0)</f>
        <v>0</v>
      </c>
    </row>
    <row r="66" spans="2:6" s="161" customFormat="1" ht="18" customHeight="1" x14ac:dyDescent="0.2">
      <c r="B66" s="231" t="s">
        <v>300</v>
      </c>
      <c r="C66" s="238" t="s">
        <v>296</v>
      </c>
      <c r="D66" s="247" t="s">
        <v>297</v>
      </c>
      <c r="E66" s="441"/>
      <c r="F66" s="239" t="s">
        <v>298</v>
      </c>
    </row>
    <row r="67" spans="2:6" ht="18" customHeight="1" x14ac:dyDescent="0.2">
      <c r="B67" s="127" t="s">
        <v>244</v>
      </c>
      <c r="C67" s="477">
        <v>0</v>
      </c>
      <c r="D67" s="485">
        <v>2</v>
      </c>
      <c r="E67" s="438">
        <v>0</v>
      </c>
      <c r="F67" s="481">
        <f>(C67-E67)/D67</f>
        <v>0</v>
      </c>
    </row>
    <row r="68" spans="2:6" ht="18" customHeight="1" x14ac:dyDescent="0.2">
      <c r="B68" s="127" t="s">
        <v>46</v>
      </c>
      <c r="C68" s="477">
        <v>0</v>
      </c>
      <c r="D68" s="485">
        <v>3</v>
      </c>
      <c r="E68" s="438">
        <v>0</v>
      </c>
      <c r="F68" s="481">
        <f t="shared" ref="F68:F69" si="6">(C68-E68)/D68</f>
        <v>0</v>
      </c>
    </row>
    <row r="69" spans="2:6" ht="18" customHeight="1" x14ac:dyDescent="0.2">
      <c r="B69" s="92" t="s">
        <v>199</v>
      </c>
      <c r="C69" s="477">
        <v>0</v>
      </c>
      <c r="D69" s="485">
        <v>2</v>
      </c>
      <c r="E69" s="438">
        <v>0</v>
      </c>
      <c r="F69" s="481">
        <f t="shared" si="6"/>
        <v>0</v>
      </c>
    </row>
    <row r="70" spans="2:6" s="161" customFormat="1" ht="18" customHeight="1" thickBot="1" x14ac:dyDescent="0.25">
      <c r="B70" s="158" t="s">
        <v>262</v>
      </c>
      <c r="C70" s="478">
        <f>SUM(C67:C69)</f>
        <v>0</v>
      </c>
      <c r="D70" s="241"/>
      <c r="E70" s="439"/>
      <c r="F70" s="482">
        <f>IFERROR(SUM(F67:F69),0)</f>
        <v>0</v>
      </c>
    </row>
    <row r="71" spans="2:6" s="161" customFormat="1" ht="18" customHeight="1" x14ac:dyDescent="0.2">
      <c r="B71" s="231" t="s">
        <v>301</v>
      </c>
      <c r="C71" s="238" t="s">
        <v>296</v>
      </c>
      <c r="D71" s="247" t="s">
        <v>297</v>
      </c>
      <c r="E71" s="441"/>
      <c r="F71" s="239" t="s">
        <v>298</v>
      </c>
    </row>
    <row r="72" spans="2:6" ht="18" customHeight="1" x14ac:dyDescent="0.2">
      <c r="B72" s="127" t="s">
        <v>47</v>
      </c>
      <c r="C72" s="477">
        <v>0</v>
      </c>
      <c r="D72" s="485">
        <v>5</v>
      </c>
      <c r="E72" s="438">
        <v>0</v>
      </c>
      <c r="F72" s="481">
        <f>(C72-E72)/D72</f>
        <v>0</v>
      </c>
    </row>
    <row r="73" spans="2:6" ht="18" customHeight="1" x14ac:dyDescent="0.2">
      <c r="B73" s="127" t="s">
        <v>128</v>
      </c>
      <c r="C73" s="477">
        <v>0</v>
      </c>
      <c r="D73" s="485">
        <v>2</v>
      </c>
      <c r="E73" s="438">
        <v>0</v>
      </c>
      <c r="F73" s="481">
        <f>(C73-E73)/D73</f>
        <v>0</v>
      </c>
    </row>
    <row r="74" spans="2:6" s="161" customFormat="1" ht="18" customHeight="1" thickBot="1" x14ac:dyDescent="0.25">
      <c r="B74" s="158" t="s">
        <v>262</v>
      </c>
      <c r="C74" s="478">
        <f>SUM(C72:C73)</f>
        <v>0</v>
      </c>
      <c r="D74" s="241"/>
      <c r="E74" s="439"/>
      <c r="F74" s="482">
        <f>IFERROR(SUM(F72:F73),0)</f>
        <v>0</v>
      </c>
    </row>
    <row r="75" spans="2:6" s="161" customFormat="1" ht="18" customHeight="1" x14ac:dyDescent="0.2">
      <c r="B75" s="242" t="s">
        <v>302</v>
      </c>
      <c r="C75" s="244" t="s">
        <v>296</v>
      </c>
      <c r="D75" s="245" t="s">
        <v>297</v>
      </c>
      <c r="E75" s="445"/>
      <c r="F75" s="246" t="s">
        <v>298</v>
      </c>
    </row>
    <row r="76" spans="2:6" ht="18" customHeight="1" x14ac:dyDescent="0.2">
      <c r="B76" s="178" t="s">
        <v>165</v>
      </c>
      <c r="C76" s="477">
        <v>0</v>
      </c>
      <c r="D76" s="485">
        <v>30</v>
      </c>
      <c r="E76" s="438">
        <v>0</v>
      </c>
      <c r="F76" s="481">
        <f>(C76-E76)/D76</f>
        <v>0</v>
      </c>
    </row>
    <row r="77" spans="2:6" ht="18" customHeight="1" x14ac:dyDescent="0.2">
      <c r="B77" s="178" t="s">
        <v>166</v>
      </c>
      <c r="C77" s="477">
        <v>0</v>
      </c>
      <c r="D77" s="485">
        <v>10</v>
      </c>
      <c r="E77" s="438">
        <v>0</v>
      </c>
      <c r="F77" s="481">
        <f t="shared" ref="F77:F80" si="7">(C77-E77)/D77</f>
        <v>0</v>
      </c>
    </row>
    <row r="78" spans="2:6" ht="18" customHeight="1" x14ac:dyDescent="0.2">
      <c r="B78" s="92" t="s">
        <v>199</v>
      </c>
      <c r="C78" s="477">
        <v>0</v>
      </c>
      <c r="D78" s="485">
        <v>10</v>
      </c>
      <c r="E78" s="438">
        <v>0</v>
      </c>
      <c r="F78" s="481">
        <f t="shared" si="7"/>
        <v>0</v>
      </c>
    </row>
    <row r="79" spans="2:6" ht="18" customHeight="1" x14ac:dyDescent="0.2">
      <c r="B79" s="92" t="s">
        <v>199</v>
      </c>
      <c r="C79" s="477">
        <v>0</v>
      </c>
      <c r="D79" s="485">
        <v>10</v>
      </c>
      <c r="E79" s="438">
        <v>0</v>
      </c>
      <c r="F79" s="481">
        <f t="shared" si="7"/>
        <v>0</v>
      </c>
    </row>
    <row r="80" spans="2:6" ht="18" customHeight="1" x14ac:dyDescent="0.2">
      <c r="B80" s="92" t="s">
        <v>199</v>
      </c>
      <c r="C80" s="477">
        <v>0</v>
      </c>
      <c r="D80" s="485">
        <v>10</v>
      </c>
      <c r="E80" s="438">
        <v>0</v>
      </c>
      <c r="F80" s="481">
        <f t="shared" si="7"/>
        <v>0</v>
      </c>
    </row>
    <row r="81" spans="2:6" s="161" customFormat="1" ht="18" customHeight="1" thickBot="1" x14ac:dyDescent="0.25">
      <c r="B81" s="158" t="s">
        <v>262</v>
      </c>
      <c r="C81" s="478">
        <f>SUM(C76:C80)</f>
        <v>0</v>
      </c>
      <c r="D81" s="241"/>
      <c r="E81" s="439"/>
      <c r="F81" s="482">
        <f>IFERROR(SUM(F76:F80),0)</f>
        <v>0</v>
      </c>
    </row>
    <row r="82" spans="2:6" s="161" customFormat="1" ht="18" customHeight="1" x14ac:dyDescent="0.2">
      <c r="B82" s="90"/>
      <c r="C82" s="162"/>
      <c r="D82" s="163"/>
      <c r="E82" s="163"/>
      <c r="F82" s="162"/>
    </row>
    <row r="83" spans="2:6" s="161" customFormat="1" ht="18" customHeight="1" x14ac:dyDescent="0.2">
      <c r="B83" s="90"/>
      <c r="C83" s="162"/>
      <c r="D83" s="235" t="s">
        <v>167</v>
      </c>
      <c r="E83" s="235"/>
      <c r="F83" s="484">
        <f>SUM(C21,C28,C36,C44,C50,C65,C70,C74,C81)</f>
        <v>0</v>
      </c>
    </row>
    <row r="84" spans="2:6" s="37" customFormat="1" ht="18" customHeight="1" x14ac:dyDescent="0.2">
      <c r="B84" s="90"/>
      <c r="C84" s="113"/>
      <c r="D84" s="236" t="s">
        <v>48</v>
      </c>
      <c r="E84" s="236"/>
      <c r="F84" s="353">
        <f>SUM(F21,F28,F36,F44,F50,F65,F70,F74,F81)</f>
        <v>0</v>
      </c>
    </row>
    <row r="85" spans="2:6" ht="18" customHeight="1" x14ac:dyDescent="0.2"/>
    <row r="86" spans="2:6" ht="18" customHeight="1" x14ac:dyDescent="0.2"/>
    <row r="87" spans="2:6" ht="18" customHeight="1" x14ac:dyDescent="0.2"/>
    <row r="88" spans="2:6" ht="18" customHeight="1" x14ac:dyDescent="0.2"/>
    <row r="89" spans="2:6" ht="18" customHeight="1" x14ac:dyDescent="0.2"/>
    <row r="90" spans="2:6" ht="18" customHeight="1" x14ac:dyDescent="0.2"/>
    <row r="91" spans="2:6" ht="18" customHeight="1" x14ac:dyDescent="0.2"/>
    <row r="92" spans="2:6" ht="18" customHeight="1" x14ac:dyDescent="0.2"/>
    <row r="93" spans="2:6" ht="18" customHeight="1" x14ac:dyDescent="0.2"/>
    <row r="94" spans="2:6" ht="18" customHeight="1" x14ac:dyDescent="0.2"/>
    <row r="95" spans="2:6" ht="18" customHeight="1" x14ac:dyDescent="0.2"/>
    <row r="96" spans="2: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sheetData>
  <sheetProtection selectLockedCells="1"/>
  <mergeCells count="2">
    <mergeCell ref="B2:C2"/>
    <mergeCell ref="F2:G2"/>
  </mergeCells>
  <phoneticPr fontId="38" type="noConversion"/>
  <pageMargins left="0.7" right="0.7" top="0.75" bottom="0.75" header="0.3" footer="0.3"/>
  <pageSetup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C00000"/>
    <pageSetUpPr fitToPage="1"/>
  </sheetPr>
  <dimension ref="C2:M29"/>
  <sheetViews>
    <sheetView showGridLines="0" workbookViewId="0">
      <selection activeCell="T28" sqref="T28"/>
    </sheetView>
  </sheetViews>
  <sheetFormatPr baseColWidth="10" defaultColWidth="8.83203125" defaultRowHeight="15" x14ac:dyDescent="0.2"/>
  <cols>
    <col min="1" max="1" width="3.6640625" customWidth="1"/>
  </cols>
  <sheetData>
    <row r="2" spans="3:13" x14ac:dyDescent="0.2">
      <c r="C2" s="9"/>
      <c r="D2" s="9"/>
      <c r="E2" s="9"/>
      <c r="F2" s="9"/>
      <c r="G2" s="9"/>
      <c r="H2" s="9"/>
      <c r="I2" s="9"/>
      <c r="J2" s="9"/>
      <c r="K2" s="9"/>
      <c r="L2" s="9"/>
      <c r="M2" s="9"/>
    </row>
    <row r="3" spans="3:13" x14ac:dyDescent="0.2">
      <c r="C3" s="9"/>
      <c r="D3" s="9"/>
      <c r="E3" s="9"/>
      <c r="F3" s="9"/>
      <c r="G3" s="9"/>
      <c r="H3" s="9"/>
      <c r="I3" s="9"/>
      <c r="J3" s="9"/>
      <c r="K3" s="9"/>
      <c r="L3" s="9"/>
      <c r="M3" s="9"/>
    </row>
    <row r="4" spans="3:13" x14ac:dyDescent="0.2">
      <c r="C4" s="9"/>
      <c r="D4" s="9"/>
      <c r="E4" s="9"/>
      <c r="F4" s="9"/>
      <c r="G4" s="9"/>
      <c r="H4" s="9"/>
      <c r="I4" s="9"/>
      <c r="J4" s="9"/>
      <c r="K4" s="9"/>
      <c r="L4" s="9"/>
      <c r="M4" s="9"/>
    </row>
    <row r="5" spans="3:13" x14ac:dyDescent="0.2">
      <c r="C5" s="9"/>
      <c r="D5" s="9"/>
      <c r="E5" s="9"/>
      <c r="F5" s="9"/>
      <c r="G5" s="9"/>
      <c r="H5" s="9"/>
      <c r="I5" s="9"/>
      <c r="J5" s="9"/>
      <c r="K5" s="9"/>
      <c r="L5" s="9"/>
      <c r="M5" s="9"/>
    </row>
    <row r="6" spans="3:13" x14ac:dyDescent="0.2">
      <c r="C6" s="9"/>
      <c r="D6" s="9"/>
      <c r="E6" s="9"/>
      <c r="F6" s="9"/>
      <c r="G6" s="9"/>
      <c r="H6" s="9"/>
      <c r="I6" s="9"/>
      <c r="J6" s="9"/>
      <c r="K6" s="9"/>
      <c r="L6" s="9"/>
      <c r="M6" s="9"/>
    </row>
    <row r="7" spans="3:13" x14ac:dyDescent="0.2">
      <c r="C7" s="9"/>
      <c r="D7" s="9"/>
      <c r="E7" s="9"/>
      <c r="F7" s="9"/>
      <c r="G7" s="9"/>
      <c r="H7" s="9"/>
      <c r="I7" s="9"/>
      <c r="J7" s="9"/>
      <c r="K7" s="9"/>
      <c r="L7" s="9"/>
      <c r="M7" s="9"/>
    </row>
    <row r="8" spans="3:13" ht="16" thickBot="1" x14ac:dyDescent="0.25">
      <c r="C8" s="9"/>
      <c r="D8" s="9"/>
      <c r="E8" s="9"/>
      <c r="F8" s="9"/>
      <c r="G8" s="9"/>
      <c r="H8" s="9"/>
      <c r="I8" s="9"/>
      <c r="J8" s="9"/>
      <c r="K8" s="9"/>
      <c r="L8" s="9"/>
      <c r="M8" s="9"/>
    </row>
    <row r="9" spans="3:13" x14ac:dyDescent="0.2">
      <c r="C9" s="9"/>
      <c r="D9" s="9"/>
      <c r="E9" s="9"/>
      <c r="F9" s="611" t="s">
        <v>189</v>
      </c>
      <c r="G9" s="612"/>
      <c r="H9" s="612"/>
      <c r="I9" s="612"/>
      <c r="J9" s="613"/>
      <c r="K9" s="9"/>
      <c r="L9" s="9"/>
      <c r="M9" s="9"/>
    </row>
    <row r="10" spans="3:13" x14ac:dyDescent="0.2">
      <c r="C10" s="9"/>
      <c r="D10" s="9"/>
      <c r="E10" s="9"/>
      <c r="F10" s="614"/>
      <c r="G10" s="615"/>
      <c r="H10" s="615"/>
      <c r="I10" s="615"/>
      <c r="J10" s="616"/>
      <c r="K10" s="9"/>
      <c r="L10" s="9"/>
      <c r="M10" s="9"/>
    </row>
    <row r="11" spans="3:13" ht="16" thickBot="1" x14ac:dyDescent="0.25">
      <c r="C11" s="9"/>
      <c r="D11" s="9"/>
      <c r="E11" s="9"/>
      <c r="F11" s="617"/>
      <c r="G11" s="618"/>
      <c r="H11" s="618"/>
      <c r="I11" s="618"/>
      <c r="J11" s="619"/>
      <c r="K11" s="9"/>
      <c r="L11" s="9"/>
      <c r="M11" s="9"/>
    </row>
    <row r="12" spans="3:13" x14ac:dyDescent="0.2">
      <c r="C12" s="9"/>
      <c r="D12" s="9"/>
      <c r="E12" s="9"/>
      <c r="F12" s="9"/>
      <c r="G12" s="9"/>
      <c r="H12" s="9"/>
      <c r="I12" s="9"/>
      <c r="J12" s="9"/>
      <c r="K12" s="9"/>
      <c r="L12" s="9"/>
      <c r="M12" s="9"/>
    </row>
    <row r="13" spans="3:13" ht="15" customHeight="1" x14ac:dyDescent="0.2"/>
    <row r="14" spans="3:13" ht="15" customHeight="1" x14ac:dyDescent="0.2"/>
    <row r="15" spans="3:13" ht="15" customHeight="1" x14ac:dyDescent="0.2"/>
    <row r="16" spans="3: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75" customHeight="1" x14ac:dyDescent="0.2"/>
  </sheetData>
  <sheetProtection selectLockedCells="1"/>
  <mergeCells count="1">
    <mergeCell ref="F9:J11"/>
  </mergeCells>
  <phoneticPr fontId="38" type="noConversion"/>
  <pageMargins left="0.25" right="0.25" top="0.75" bottom="0.75" header="0.3" footer="0.3"/>
  <pageSetup scale="6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00000"/>
    <pageSetUpPr fitToPage="1"/>
  </sheetPr>
  <dimension ref="B1:I49"/>
  <sheetViews>
    <sheetView showGridLines="0" zoomScaleNormal="100" workbookViewId="0">
      <pane ySplit="2" topLeftCell="A32" activePane="bottomLeft" state="frozen"/>
      <selection pane="bottomLeft" activeCell="G47" sqref="G47"/>
    </sheetView>
  </sheetViews>
  <sheetFormatPr baseColWidth="10" defaultColWidth="8.83203125" defaultRowHeight="16" x14ac:dyDescent="0.2"/>
  <cols>
    <col min="1" max="1" width="3.33203125" customWidth="1"/>
    <col min="2" max="2" width="31.83203125" customWidth="1"/>
    <col min="3" max="3" width="18.1640625" customWidth="1"/>
    <col min="4" max="4" width="15.33203125" customWidth="1"/>
    <col min="5" max="5" width="16.6640625" customWidth="1"/>
    <col min="6" max="6" width="18.33203125" customWidth="1"/>
    <col min="7" max="7" width="18.1640625" customWidth="1"/>
    <col min="8" max="8" width="9.5" style="45" customWidth="1"/>
  </cols>
  <sheetData>
    <row r="1" spans="2:9" ht="27" thickBot="1" x14ac:dyDescent="0.35">
      <c r="B1" s="218" t="str">
        <f>"Crop Planning for "&amp;'Cut Flower 1'!$F$9</f>
        <v>Crop Planning for write crop name here</v>
      </c>
      <c r="C1" s="73"/>
      <c r="D1" s="5"/>
      <c r="E1" s="623" t="s">
        <v>141</v>
      </c>
      <c r="F1" s="623"/>
      <c r="G1" s="623"/>
      <c r="H1" s="623"/>
      <c r="I1" s="219"/>
    </row>
    <row r="2" spans="2:9" ht="27" thickBot="1" x14ac:dyDescent="0.35">
      <c r="B2" s="609" t="s">
        <v>236</v>
      </c>
      <c r="C2" s="610"/>
    </row>
    <row r="3" spans="2:9" ht="18" customHeight="1" x14ac:dyDescent="0.2">
      <c r="B3" s="265"/>
      <c r="C3" s="265"/>
      <c r="D3" s="265"/>
      <c r="E3" s="265"/>
      <c r="F3" s="265"/>
      <c r="G3" s="265"/>
      <c r="H3" s="265"/>
    </row>
    <row r="4" spans="2:9" ht="18" customHeight="1" x14ac:dyDescent="0.2">
      <c r="B4" s="265"/>
      <c r="C4" s="265"/>
      <c r="D4" s="265"/>
      <c r="E4" s="265"/>
      <c r="F4" s="265"/>
      <c r="G4" s="265"/>
      <c r="H4" s="265"/>
    </row>
    <row r="5" spans="2:9" ht="18" customHeight="1" thickBot="1" x14ac:dyDescent="0.25">
      <c r="B5" s="31"/>
      <c r="C5" s="31"/>
      <c r="D5" s="31"/>
      <c r="E5" s="31"/>
      <c r="F5" s="31"/>
      <c r="G5" s="31"/>
      <c r="H5" s="31"/>
    </row>
    <row r="6" spans="2:9" s="78" customFormat="1" ht="30" customHeight="1" thickBot="1" x14ac:dyDescent="0.25">
      <c r="B6" s="621" t="s">
        <v>93</v>
      </c>
      <c r="C6" s="622"/>
      <c r="D6" s="624" t="s">
        <v>411</v>
      </c>
      <c r="E6" s="625"/>
      <c r="F6" s="142"/>
      <c r="G6" s="142"/>
      <c r="H6" s="142"/>
    </row>
    <row r="7" spans="2:9" s="78" customFormat="1" ht="18" customHeight="1" thickBot="1" x14ac:dyDescent="0.25">
      <c r="B7" s="142"/>
      <c r="C7" s="142"/>
      <c r="D7" s="142"/>
      <c r="E7" s="142"/>
      <c r="F7" s="142"/>
      <c r="G7" s="142"/>
      <c r="H7" s="142"/>
    </row>
    <row r="8" spans="2:9" s="78" customFormat="1" ht="18" customHeight="1" x14ac:dyDescent="0.2">
      <c r="B8" s="220" t="s">
        <v>78</v>
      </c>
      <c r="C8" s="221" t="str">
        <f>$D$6&amp;" Per Week"</f>
        <v>stem, bouquet, lbs, bucket, jar Per Week</v>
      </c>
      <c r="D8" s="221" t="s">
        <v>52</v>
      </c>
      <c r="E8" s="222" t="str">
        <f>$D$6&amp;" Per Year"</f>
        <v>stem, bouquet, lbs, bucket, jar Per Year</v>
      </c>
      <c r="F8" s="222" t="str">
        <f>"Price/"&amp;$D$6</f>
        <v>Price/stem, bouquet, lbs, bucket, jar</v>
      </c>
      <c r="G8" s="222" t="s">
        <v>91</v>
      </c>
      <c r="H8" s="223" t="s">
        <v>92</v>
      </c>
    </row>
    <row r="9" spans="2:9" s="78" customFormat="1" ht="18" customHeight="1" x14ac:dyDescent="0.2">
      <c r="B9" s="108" t="s">
        <v>25</v>
      </c>
      <c r="C9" s="487">
        <v>0</v>
      </c>
      <c r="D9" s="487">
        <v>0</v>
      </c>
      <c r="E9" s="488">
        <f>C9*D9</f>
        <v>0</v>
      </c>
      <c r="F9" s="491">
        <v>0</v>
      </c>
      <c r="G9" s="492">
        <f>E9*F9</f>
        <v>0</v>
      </c>
      <c r="H9" s="143">
        <f>IFERROR(G9/G48,0)</f>
        <v>0</v>
      </c>
    </row>
    <row r="10" spans="2:9" s="78" customFormat="1" ht="18" customHeight="1" x14ac:dyDescent="0.2">
      <c r="B10" s="108" t="s">
        <v>25</v>
      </c>
      <c r="C10" s="487">
        <v>0</v>
      </c>
      <c r="D10" s="487">
        <v>0</v>
      </c>
      <c r="E10" s="488">
        <f>C10*D10</f>
        <v>0</v>
      </c>
      <c r="F10" s="491">
        <v>0</v>
      </c>
      <c r="G10" s="492">
        <f>E10*F10</f>
        <v>0</v>
      </c>
      <c r="H10" s="143">
        <f>IFERROR(G10/G48,0)</f>
        <v>0</v>
      </c>
    </row>
    <row r="11" spans="2:9" s="78" customFormat="1" ht="18" customHeight="1" x14ac:dyDescent="0.2">
      <c r="B11" s="108" t="s">
        <v>25</v>
      </c>
      <c r="C11" s="487">
        <v>0</v>
      </c>
      <c r="D11" s="487">
        <v>0</v>
      </c>
      <c r="E11" s="488">
        <f>C11*D11</f>
        <v>0</v>
      </c>
      <c r="F11" s="491">
        <v>0</v>
      </c>
      <c r="G11" s="492">
        <f>E11*F11</f>
        <v>0</v>
      </c>
      <c r="H11" s="143">
        <f>IFERROR(G11/G48,0)</f>
        <v>0</v>
      </c>
    </row>
    <row r="12" spans="2:9" s="78" customFormat="1" ht="18" customHeight="1" x14ac:dyDescent="0.2">
      <c r="B12" s="108" t="s">
        <v>25</v>
      </c>
      <c r="C12" s="487">
        <v>0</v>
      </c>
      <c r="D12" s="487">
        <v>0</v>
      </c>
      <c r="E12" s="488">
        <f>C12*D12</f>
        <v>0</v>
      </c>
      <c r="F12" s="491">
        <v>0</v>
      </c>
      <c r="G12" s="492">
        <f>E12*F12</f>
        <v>0</v>
      </c>
      <c r="H12" s="143">
        <f>IFERROR(G12/G48,0)</f>
        <v>0</v>
      </c>
    </row>
    <row r="13" spans="2:9" s="78" customFormat="1" ht="18" customHeight="1" x14ac:dyDescent="0.2">
      <c r="B13" s="108" t="s">
        <v>25</v>
      </c>
      <c r="C13" s="487">
        <v>0</v>
      </c>
      <c r="D13" s="487">
        <v>0</v>
      </c>
      <c r="E13" s="488">
        <f>C13*D13</f>
        <v>0</v>
      </c>
      <c r="F13" s="491">
        <v>0</v>
      </c>
      <c r="G13" s="492">
        <f>E13*F13</f>
        <v>0</v>
      </c>
      <c r="H13" s="143">
        <f>IFERROR(G13/G48,0)</f>
        <v>0</v>
      </c>
    </row>
    <row r="14" spans="2:9" s="86" customFormat="1" ht="18" customHeight="1" thickBot="1" x14ac:dyDescent="0.25">
      <c r="B14" s="158" t="s">
        <v>11</v>
      </c>
      <c r="C14" s="489">
        <f>SUM(C9:C13)</f>
        <v>0</v>
      </c>
      <c r="D14" s="490"/>
      <c r="E14" s="489">
        <f>SUM(E9:E13)</f>
        <v>0</v>
      </c>
      <c r="F14" s="493"/>
      <c r="G14" s="494">
        <f>SUM(G9:G13)</f>
        <v>0</v>
      </c>
      <c r="H14" s="260">
        <f>IFERROR(G14/G48,0)</f>
        <v>0</v>
      </c>
    </row>
    <row r="15" spans="2:9" s="78" customFormat="1" ht="18" customHeight="1" x14ac:dyDescent="0.2">
      <c r="B15" s="253" t="s">
        <v>79</v>
      </c>
      <c r="C15" s="221" t="str">
        <f>$D$6&amp;" Per Week"</f>
        <v>stem, bouquet, lbs, bucket, jar Per Week</v>
      </c>
      <c r="D15" s="221" t="s">
        <v>52</v>
      </c>
      <c r="E15" s="222" t="str">
        <f>$D$6&amp;" Per Year"</f>
        <v>stem, bouquet, lbs, bucket, jar Per Year</v>
      </c>
      <c r="F15" s="450" t="str">
        <f>"Price/"&amp;$D$6</f>
        <v>Price/stem, bouquet, lbs, bucket, jar</v>
      </c>
      <c r="G15" s="262" t="s">
        <v>91</v>
      </c>
      <c r="H15" s="223" t="s">
        <v>92</v>
      </c>
    </row>
    <row r="16" spans="2:9" s="78" customFormat="1" ht="18" customHeight="1" x14ac:dyDescent="0.2">
      <c r="B16" s="108" t="s">
        <v>25</v>
      </c>
      <c r="C16" s="487">
        <v>0</v>
      </c>
      <c r="D16" s="487">
        <v>0</v>
      </c>
      <c r="E16" s="488">
        <f>C16*D16</f>
        <v>0</v>
      </c>
      <c r="F16" s="491">
        <v>0</v>
      </c>
      <c r="G16" s="492">
        <f>E16*F16</f>
        <v>0</v>
      </c>
      <c r="H16" s="143">
        <f>IFERROR(G16/G48,0)</f>
        <v>0</v>
      </c>
    </row>
    <row r="17" spans="2:8" s="78" customFormat="1" ht="18" customHeight="1" x14ac:dyDescent="0.2">
      <c r="B17" s="108" t="s">
        <v>25</v>
      </c>
      <c r="C17" s="487">
        <v>0</v>
      </c>
      <c r="D17" s="487">
        <v>0</v>
      </c>
      <c r="E17" s="488">
        <f>C17*D17</f>
        <v>0</v>
      </c>
      <c r="F17" s="491">
        <v>0</v>
      </c>
      <c r="G17" s="492">
        <f>E17*F17</f>
        <v>0</v>
      </c>
      <c r="H17" s="143">
        <f>IFERROR(G17/G48,0)</f>
        <v>0</v>
      </c>
    </row>
    <row r="18" spans="2:8" s="78" customFormat="1" ht="18" customHeight="1" x14ac:dyDescent="0.2">
      <c r="B18" s="108" t="s">
        <v>25</v>
      </c>
      <c r="C18" s="487">
        <v>0</v>
      </c>
      <c r="D18" s="487">
        <v>0</v>
      </c>
      <c r="E18" s="488">
        <f>C18*D18</f>
        <v>0</v>
      </c>
      <c r="F18" s="491">
        <v>0</v>
      </c>
      <c r="G18" s="492">
        <f>E18*F18</f>
        <v>0</v>
      </c>
      <c r="H18" s="143">
        <f>IFERROR(G18/G48,0)</f>
        <v>0</v>
      </c>
    </row>
    <row r="19" spans="2:8" s="78" customFormat="1" ht="18" customHeight="1" x14ac:dyDescent="0.2">
      <c r="B19" s="108" t="s">
        <v>25</v>
      </c>
      <c r="C19" s="487">
        <v>0</v>
      </c>
      <c r="D19" s="487">
        <v>0</v>
      </c>
      <c r="E19" s="488">
        <f>C19*D19</f>
        <v>0</v>
      </c>
      <c r="F19" s="491">
        <v>0</v>
      </c>
      <c r="G19" s="492">
        <f>E19*F19</f>
        <v>0</v>
      </c>
      <c r="H19" s="143">
        <f>IFERROR(G19/G48,0)</f>
        <v>0</v>
      </c>
    </row>
    <row r="20" spans="2:8" s="78" customFormat="1" ht="18" customHeight="1" x14ac:dyDescent="0.2">
      <c r="B20" s="108" t="s">
        <v>25</v>
      </c>
      <c r="C20" s="487">
        <v>0</v>
      </c>
      <c r="D20" s="487">
        <v>0</v>
      </c>
      <c r="E20" s="488">
        <f>C20*D20</f>
        <v>0</v>
      </c>
      <c r="F20" s="491">
        <v>0</v>
      </c>
      <c r="G20" s="492">
        <f>E20*F20</f>
        <v>0</v>
      </c>
      <c r="H20" s="143">
        <f>IFERROR(G20/G48,0)</f>
        <v>0</v>
      </c>
    </row>
    <row r="21" spans="2:8" s="86" customFormat="1" ht="18" customHeight="1" thickBot="1" x14ac:dyDescent="0.25">
      <c r="B21" s="158" t="s">
        <v>11</v>
      </c>
      <c r="C21" s="489">
        <f>SUM(C16:C20)</f>
        <v>0</v>
      </c>
      <c r="D21" s="490"/>
      <c r="E21" s="489">
        <f>SUM(E16:E20)</f>
        <v>0</v>
      </c>
      <c r="F21" s="493"/>
      <c r="G21" s="494">
        <f>SUM(G16:G20)</f>
        <v>0</v>
      </c>
      <c r="H21" s="260">
        <f>IFERROR(G21/G48,0)</f>
        <v>0</v>
      </c>
    </row>
    <row r="22" spans="2:8" s="78" customFormat="1" ht="18" customHeight="1" x14ac:dyDescent="0.2">
      <c r="B22" s="253" t="s">
        <v>80</v>
      </c>
      <c r="C22" s="221" t="str">
        <f>$D$6&amp;" Per Week"</f>
        <v>stem, bouquet, lbs, bucket, jar Per Week</v>
      </c>
      <c r="D22" s="221" t="s">
        <v>52</v>
      </c>
      <c r="E22" s="222" t="str">
        <f>$D$6&amp;" Per Year"</f>
        <v>stem, bouquet, lbs, bucket, jar Per Year</v>
      </c>
      <c r="F22" s="450" t="str">
        <f>"Price/"&amp;$D$6</f>
        <v>Price/stem, bouquet, lbs, bucket, jar</v>
      </c>
      <c r="G22" s="262" t="s">
        <v>91</v>
      </c>
      <c r="H22" s="223" t="s">
        <v>92</v>
      </c>
    </row>
    <row r="23" spans="2:8" s="78" customFormat="1" ht="18" customHeight="1" x14ac:dyDescent="0.2">
      <c r="B23" s="108" t="s">
        <v>25</v>
      </c>
      <c r="C23" s="487">
        <v>0</v>
      </c>
      <c r="D23" s="487">
        <v>0</v>
      </c>
      <c r="E23" s="488">
        <f>C23*D23</f>
        <v>0</v>
      </c>
      <c r="F23" s="491">
        <v>0</v>
      </c>
      <c r="G23" s="492">
        <f>E23*F23</f>
        <v>0</v>
      </c>
      <c r="H23" s="143">
        <f>IFERROR(G23/G48,0)</f>
        <v>0</v>
      </c>
    </row>
    <row r="24" spans="2:8" s="78" customFormat="1" ht="18" customHeight="1" x14ac:dyDescent="0.2">
      <c r="B24" s="108" t="s">
        <v>25</v>
      </c>
      <c r="C24" s="487">
        <v>0</v>
      </c>
      <c r="D24" s="487">
        <v>0</v>
      </c>
      <c r="E24" s="488">
        <f>C24*D24</f>
        <v>0</v>
      </c>
      <c r="F24" s="491">
        <v>0</v>
      </c>
      <c r="G24" s="492">
        <f>E24*F24</f>
        <v>0</v>
      </c>
      <c r="H24" s="143">
        <f>IFERROR(G24/G48,0)</f>
        <v>0</v>
      </c>
    </row>
    <row r="25" spans="2:8" s="86" customFormat="1" ht="18" customHeight="1" thickBot="1" x14ac:dyDescent="0.25">
      <c r="B25" s="158" t="s">
        <v>11</v>
      </c>
      <c r="C25" s="489">
        <f>SUM(C23:C24)</f>
        <v>0</v>
      </c>
      <c r="D25" s="490"/>
      <c r="E25" s="489">
        <f>SUM(E23:E24)</f>
        <v>0</v>
      </c>
      <c r="F25" s="493"/>
      <c r="G25" s="494">
        <f>SUM(G23:G24)</f>
        <v>0</v>
      </c>
      <c r="H25" s="260">
        <f>IFERROR(G25/G48,0)</f>
        <v>0</v>
      </c>
    </row>
    <row r="26" spans="2:8" s="78" customFormat="1" ht="18" customHeight="1" x14ac:dyDescent="0.2">
      <c r="B26" s="253" t="s">
        <v>31</v>
      </c>
      <c r="C26" s="221" t="str">
        <f>$D$6&amp;" Per Week"</f>
        <v>stem, bouquet, lbs, bucket, jar Per Week</v>
      </c>
      <c r="D26" s="221" t="s">
        <v>52</v>
      </c>
      <c r="E26" s="222" t="str">
        <f>$D$6&amp;" Per Year"</f>
        <v>stem, bouquet, lbs, bucket, jar Per Year</v>
      </c>
      <c r="F26" s="450" t="str">
        <f>"Price/"&amp;$D$6</f>
        <v>Price/stem, bouquet, lbs, bucket, jar</v>
      </c>
      <c r="G26" s="262" t="s">
        <v>91</v>
      </c>
      <c r="H26" s="223" t="s">
        <v>92</v>
      </c>
    </row>
    <row r="27" spans="2:8" s="78" customFormat="1" ht="18" customHeight="1" x14ac:dyDescent="0.2">
      <c r="B27" s="108" t="s">
        <v>25</v>
      </c>
      <c r="C27" s="487">
        <v>0</v>
      </c>
      <c r="D27" s="487">
        <v>0</v>
      </c>
      <c r="E27" s="488">
        <f>C27*D27</f>
        <v>0</v>
      </c>
      <c r="F27" s="491">
        <v>0</v>
      </c>
      <c r="G27" s="492">
        <f>E27*F27</f>
        <v>0</v>
      </c>
      <c r="H27" s="143">
        <f>IFERROR(G27/G48,0)</f>
        <v>0</v>
      </c>
    </row>
    <row r="28" spans="2:8" s="78" customFormat="1" ht="18" customHeight="1" x14ac:dyDescent="0.2">
      <c r="B28" s="108" t="s">
        <v>25</v>
      </c>
      <c r="C28" s="487">
        <v>0</v>
      </c>
      <c r="D28" s="487">
        <v>0</v>
      </c>
      <c r="E28" s="488">
        <f>C28*D28</f>
        <v>0</v>
      </c>
      <c r="F28" s="491">
        <v>0</v>
      </c>
      <c r="G28" s="492">
        <f>E28*F28</f>
        <v>0</v>
      </c>
      <c r="H28" s="143">
        <f>IFERROR(G28/G48,0)</f>
        <v>0</v>
      </c>
    </row>
    <row r="29" spans="2:8" s="86" customFormat="1" ht="18" customHeight="1" thickBot="1" x14ac:dyDescent="0.25">
      <c r="B29" s="158" t="s">
        <v>11</v>
      </c>
      <c r="C29" s="489">
        <f>SUM(C27:C28)</f>
        <v>0</v>
      </c>
      <c r="D29" s="490"/>
      <c r="E29" s="489">
        <f>SUM(E27:E28)</f>
        <v>0</v>
      </c>
      <c r="F29" s="493"/>
      <c r="G29" s="494">
        <f>SUM(G27:G28)</f>
        <v>0</v>
      </c>
      <c r="H29" s="260">
        <f>IFERROR(G29/G48,0)</f>
        <v>0</v>
      </c>
    </row>
    <row r="30" spans="2:8" s="78" customFormat="1" ht="18" customHeight="1" x14ac:dyDescent="0.2">
      <c r="B30" s="255" t="s">
        <v>192</v>
      </c>
      <c r="C30" s="310" t="str">
        <f>$D$6&amp;" Per Week"</f>
        <v>stem, bouquet, lbs, bucket, jar Per Week</v>
      </c>
      <c r="D30" s="310" t="s">
        <v>52</v>
      </c>
      <c r="E30" s="446" t="str">
        <f>$D$6&amp;" Per Year"</f>
        <v>stem, bouquet, lbs, bucket, jar Per Year</v>
      </c>
      <c r="F30" s="449" t="str">
        <f>"Price/"&amp;$D$6</f>
        <v>Price/stem, bouquet, lbs, bucket, jar</v>
      </c>
      <c r="G30" s="311" t="s">
        <v>91</v>
      </c>
      <c r="H30" s="312" t="s">
        <v>92</v>
      </c>
    </row>
    <row r="31" spans="2:8" s="78" customFormat="1" ht="18" customHeight="1" x14ac:dyDescent="0.2">
      <c r="B31" s="108" t="s">
        <v>25</v>
      </c>
      <c r="C31" s="487">
        <v>0</v>
      </c>
      <c r="D31" s="487">
        <v>0</v>
      </c>
      <c r="E31" s="488">
        <f>C31*D31</f>
        <v>0</v>
      </c>
      <c r="F31" s="491">
        <v>0</v>
      </c>
      <c r="G31" s="492">
        <f>E31*F31</f>
        <v>0</v>
      </c>
      <c r="H31" s="143">
        <f>IFERROR(G31/G48,0)</f>
        <v>0</v>
      </c>
    </row>
    <row r="32" spans="2:8" s="78" customFormat="1" ht="18" customHeight="1" x14ac:dyDescent="0.2">
      <c r="B32" s="108" t="s">
        <v>25</v>
      </c>
      <c r="C32" s="487">
        <v>0</v>
      </c>
      <c r="D32" s="487">
        <v>0</v>
      </c>
      <c r="E32" s="488">
        <f>C32*D32</f>
        <v>0</v>
      </c>
      <c r="F32" s="491">
        <v>0</v>
      </c>
      <c r="G32" s="492">
        <f>E32*F32</f>
        <v>0</v>
      </c>
      <c r="H32" s="143">
        <f>IFERROR(G32/G48,0)</f>
        <v>0</v>
      </c>
    </row>
    <row r="33" spans="2:8" s="86" customFormat="1" ht="18" customHeight="1" thickBot="1" x14ac:dyDescent="0.25">
      <c r="B33" s="158" t="s">
        <v>11</v>
      </c>
      <c r="C33" s="489">
        <f>SUM(C31:C32)</f>
        <v>0</v>
      </c>
      <c r="D33" s="490"/>
      <c r="E33" s="489">
        <f>SUM(E31:E32)</f>
        <v>0</v>
      </c>
      <c r="F33" s="493"/>
      <c r="G33" s="494">
        <f>SUM(G31:G32)</f>
        <v>0</v>
      </c>
      <c r="H33" s="260">
        <f>IFERROR(G33/G48,0)</f>
        <v>0</v>
      </c>
    </row>
    <row r="34" spans="2:8" s="78" customFormat="1" ht="18" customHeight="1" x14ac:dyDescent="0.2">
      <c r="B34" s="224" t="s">
        <v>190</v>
      </c>
      <c r="C34" s="225" t="str">
        <f>$D$6&amp;" Per Week"</f>
        <v>stem, bouquet, lbs, bucket, jar Per Week</v>
      </c>
      <c r="D34" s="225" t="s">
        <v>52</v>
      </c>
      <c r="E34" s="447" t="str">
        <f>$D$6&amp;" Per Year"</f>
        <v>stem, bouquet, lbs, bucket, jar Per Year</v>
      </c>
      <c r="F34" s="448" t="str">
        <f>"Price/"&amp;$D$6</f>
        <v>Price/stem, bouquet, lbs, bucket, jar</v>
      </c>
      <c r="G34" s="227" t="s">
        <v>91</v>
      </c>
      <c r="H34" s="228" t="s">
        <v>92</v>
      </c>
    </row>
    <row r="35" spans="2:8" s="78" customFormat="1" ht="18" customHeight="1" x14ac:dyDescent="0.2">
      <c r="B35" s="108" t="s">
        <v>25</v>
      </c>
      <c r="C35" s="487">
        <v>0</v>
      </c>
      <c r="D35" s="487">
        <v>0</v>
      </c>
      <c r="E35" s="488">
        <f>C35*D35</f>
        <v>0</v>
      </c>
      <c r="F35" s="491">
        <v>0</v>
      </c>
      <c r="G35" s="492">
        <f>E35*F35</f>
        <v>0</v>
      </c>
      <c r="H35" s="143">
        <f>IFERROR(G35/G48,0)</f>
        <v>0</v>
      </c>
    </row>
    <row r="36" spans="2:8" s="78" customFormat="1" ht="18" customHeight="1" x14ac:dyDescent="0.2">
      <c r="B36" s="108" t="s">
        <v>25</v>
      </c>
      <c r="C36" s="487">
        <v>0</v>
      </c>
      <c r="D36" s="487">
        <v>0</v>
      </c>
      <c r="E36" s="488">
        <f>C36*D36</f>
        <v>0</v>
      </c>
      <c r="F36" s="491">
        <v>0</v>
      </c>
      <c r="G36" s="492">
        <f>E36*F36</f>
        <v>0</v>
      </c>
      <c r="H36" s="143">
        <f>IFERROR(G36/G48,0)</f>
        <v>0</v>
      </c>
    </row>
    <row r="37" spans="2:8" s="86" customFormat="1" ht="18" customHeight="1" thickBot="1" x14ac:dyDescent="0.25">
      <c r="B37" s="158" t="s">
        <v>11</v>
      </c>
      <c r="C37" s="489">
        <f>SUM(C35:C36)</f>
        <v>0</v>
      </c>
      <c r="D37" s="490"/>
      <c r="E37" s="489">
        <f>SUM(E35:E36)</f>
        <v>0</v>
      </c>
      <c r="F37" s="493"/>
      <c r="G37" s="494">
        <f>SUM(G35:G36)</f>
        <v>0</v>
      </c>
      <c r="H37" s="260">
        <f>IFERROR(G37/G48,0)</f>
        <v>0</v>
      </c>
    </row>
    <row r="38" spans="2:8" s="78" customFormat="1" ht="18" customHeight="1" x14ac:dyDescent="0.2">
      <c r="B38" s="224" t="s">
        <v>191</v>
      </c>
      <c r="C38" s="225" t="str">
        <f>$D$6&amp;" Per Week"</f>
        <v>stem, bouquet, lbs, bucket, jar Per Week</v>
      </c>
      <c r="D38" s="225" t="s">
        <v>52</v>
      </c>
      <c r="E38" s="447" t="str">
        <f>$D$6&amp;" Per Year"</f>
        <v>stem, bouquet, lbs, bucket, jar Per Year</v>
      </c>
      <c r="F38" s="448" t="str">
        <f>"Price/"&amp;$D$6</f>
        <v>Price/stem, bouquet, lbs, bucket, jar</v>
      </c>
      <c r="G38" s="227" t="s">
        <v>91</v>
      </c>
      <c r="H38" s="228" t="s">
        <v>92</v>
      </c>
    </row>
    <row r="39" spans="2:8" s="78" customFormat="1" ht="18" customHeight="1" x14ac:dyDescent="0.2">
      <c r="B39" s="108" t="s">
        <v>25</v>
      </c>
      <c r="C39" s="487">
        <v>0</v>
      </c>
      <c r="D39" s="487">
        <v>0</v>
      </c>
      <c r="E39" s="488">
        <f>C39*D39</f>
        <v>0</v>
      </c>
      <c r="F39" s="491">
        <v>0</v>
      </c>
      <c r="G39" s="492">
        <f>E39*F39</f>
        <v>0</v>
      </c>
      <c r="H39" s="143">
        <f>IFERROR(G39/G48,0)</f>
        <v>0</v>
      </c>
    </row>
    <row r="40" spans="2:8" s="78" customFormat="1" ht="18" customHeight="1" x14ac:dyDescent="0.2">
      <c r="B40" s="108" t="s">
        <v>25</v>
      </c>
      <c r="C40" s="487">
        <v>0</v>
      </c>
      <c r="D40" s="487">
        <v>0</v>
      </c>
      <c r="E40" s="488">
        <f>C40*D40</f>
        <v>0</v>
      </c>
      <c r="F40" s="491">
        <v>0</v>
      </c>
      <c r="G40" s="492">
        <f>E40*F40</f>
        <v>0</v>
      </c>
      <c r="H40" s="143">
        <f>IFERROR(G40/G48,0)</f>
        <v>0</v>
      </c>
    </row>
    <row r="41" spans="2:8" s="86" customFormat="1" ht="18" customHeight="1" thickBot="1" x14ac:dyDescent="0.25">
      <c r="B41" s="158" t="s">
        <v>11</v>
      </c>
      <c r="C41" s="489">
        <f>SUM(C39:C40)</f>
        <v>0</v>
      </c>
      <c r="D41" s="490"/>
      <c r="E41" s="489">
        <f>SUM(E39:E40)</f>
        <v>0</v>
      </c>
      <c r="F41" s="493"/>
      <c r="G41" s="494">
        <f>SUM(G39:G40)</f>
        <v>0</v>
      </c>
      <c r="H41" s="260">
        <f>IFERROR(G41/G48,0)</f>
        <v>0</v>
      </c>
    </row>
    <row r="42" spans="2:8" s="78" customFormat="1" ht="18" customHeight="1" x14ac:dyDescent="0.2">
      <c r="B42" s="224" t="s">
        <v>81</v>
      </c>
      <c r="C42" s="225" t="str">
        <f>$D$6&amp;" Per Week"</f>
        <v>stem, bouquet, lbs, bucket, jar Per Week</v>
      </c>
      <c r="D42" s="225" t="s">
        <v>52</v>
      </c>
      <c r="E42" s="447" t="str">
        <f>$D$6&amp;" Per Year"</f>
        <v>stem, bouquet, lbs, bucket, jar Per Year</v>
      </c>
      <c r="F42" s="448" t="str">
        <f>"Price/"&amp;$D$6</f>
        <v>Price/stem, bouquet, lbs, bucket, jar</v>
      </c>
      <c r="G42" s="227" t="s">
        <v>91</v>
      </c>
      <c r="H42" s="228" t="s">
        <v>92</v>
      </c>
    </row>
    <row r="43" spans="2:8" s="78" customFormat="1" ht="18" customHeight="1" x14ac:dyDescent="0.2">
      <c r="B43" s="108" t="s">
        <v>25</v>
      </c>
      <c r="C43" s="487">
        <v>0</v>
      </c>
      <c r="D43" s="487">
        <v>0</v>
      </c>
      <c r="E43" s="488">
        <f>C43*D43</f>
        <v>0</v>
      </c>
      <c r="F43" s="491">
        <v>0</v>
      </c>
      <c r="G43" s="492">
        <f>E43*F43</f>
        <v>0</v>
      </c>
      <c r="H43" s="143">
        <f>IFERROR(G43/G48,0)</f>
        <v>0</v>
      </c>
    </row>
    <row r="44" spans="2:8" s="78" customFormat="1" ht="18" customHeight="1" x14ac:dyDescent="0.2">
      <c r="B44" s="108" t="s">
        <v>25</v>
      </c>
      <c r="C44" s="487">
        <v>0</v>
      </c>
      <c r="D44" s="487">
        <v>0</v>
      </c>
      <c r="E44" s="488">
        <f>C44*D44</f>
        <v>0</v>
      </c>
      <c r="F44" s="491">
        <v>0</v>
      </c>
      <c r="G44" s="492">
        <f>E44*F44</f>
        <v>0</v>
      </c>
      <c r="H44" s="143">
        <f>IFERROR(G44/G48,0)</f>
        <v>0</v>
      </c>
    </row>
    <row r="45" spans="2:8" s="86" customFormat="1" ht="18" customHeight="1" thickBot="1" x14ac:dyDescent="0.25">
      <c r="B45" s="158" t="s">
        <v>11</v>
      </c>
      <c r="C45" s="489">
        <f>SUM(C43:C44)</f>
        <v>0</v>
      </c>
      <c r="D45" s="490"/>
      <c r="E45" s="489">
        <f>SUM(E43:E44)</f>
        <v>0</v>
      </c>
      <c r="F45" s="493"/>
      <c r="G45" s="494">
        <f>SUM(G43:G44)</f>
        <v>0</v>
      </c>
      <c r="H45" s="260">
        <f>IFERROR(G45/G48,0)</f>
        <v>0</v>
      </c>
    </row>
    <row r="46" spans="2:8" s="78" customFormat="1" ht="18" customHeight="1" x14ac:dyDescent="0.2"/>
    <row r="47" spans="2:8" s="78" customFormat="1" ht="18" customHeight="1" x14ac:dyDescent="0.2">
      <c r="B47" s="90"/>
      <c r="C47" s="144"/>
      <c r="D47" s="86"/>
      <c r="E47" s="90"/>
      <c r="F47" s="90" t="s">
        <v>87</v>
      </c>
      <c r="G47" s="144">
        <f>SUM(E14,E21,E25,E29,E33,E37,E41,E45)</f>
        <v>0</v>
      </c>
      <c r="H47" s="86" t="str">
        <f>D6</f>
        <v>stem, bouquet, lbs, bucket, jar</v>
      </c>
    </row>
    <row r="48" spans="2:8" s="78" customFormat="1" ht="18" customHeight="1" x14ac:dyDescent="0.2">
      <c r="B48" s="90"/>
      <c r="C48" s="144"/>
      <c r="D48" s="86"/>
      <c r="E48" s="620" t="s">
        <v>82</v>
      </c>
      <c r="F48" s="620"/>
      <c r="G48" s="496">
        <f>SUM(G14,G21,G25,G29,G33,G37,G41,G45)</f>
        <v>0</v>
      </c>
    </row>
    <row r="49" spans="2:7" s="85" customFormat="1" ht="18" x14ac:dyDescent="0.2">
      <c r="B49" s="146"/>
      <c r="C49" s="147"/>
      <c r="D49" s="148"/>
      <c r="E49" s="146"/>
      <c r="F49" s="146"/>
      <c r="G49" s="149"/>
    </row>
  </sheetData>
  <sheetProtection selectLockedCells="1"/>
  <mergeCells count="5">
    <mergeCell ref="B2:C2"/>
    <mergeCell ref="E48:F48"/>
    <mergeCell ref="B6:C6"/>
    <mergeCell ref="E1:H1"/>
    <mergeCell ref="D6:E6"/>
  </mergeCells>
  <phoneticPr fontId="38" type="noConversion"/>
  <pageMargins left="0.7" right="0.7" top="0.75" bottom="0.75" header="0.3" footer="0.3"/>
  <pageSetup scale="6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B1:P28"/>
  <sheetViews>
    <sheetView showGridLines="0" zoomScaleNormal="100" workbookViewId="0">
      <pane ySplit="2" topLeftCell="A3" activePane="bottomLeft" state="frozen"/>
      <selection pane="bottomLeft" activeCell="A7" sqref="A7:XFD8"/>
    </sheetView>
  </sheetViews>
  <sheetFormatPr baseColWidth="10" defaultColWidth="8.83203125" defaultRowHeight="15" x14ac:dyDescent="0.2"/>
  <cols>
    <col min="1" max="1" width="3.33203125" customWidth="1"/>
    <col min="2" max="2" width="53" customWidth="1"/>
    <col min="3" max="3" width="20" customWidth="1"/>
    <col min="4" max="4" width="20.5" customWidth="1"/>
    <col min="7" max="7" width="24" customWidth="1"/>
    <col min="8" max="8" width="44.6640625" customWidth="1"/>
  </cols>
  <sheetData>
    <row r="1" spans="2:16" ht="27" thickBot="1" x14ac:dyDescent="0.35">
      <c r="B1" s="230" t="str">
        <f>"Crop Planning for "&amp;'Cut Flower 1'!F9</f>
        <v>Crop Planning for write crop name here</v>
      </c>
      <c r="D1" s="623" t="s">
        <v>141</v>
      </c>
      <c r="E1" s="623"/>
      <c r="F1" s="623"/>
      <c r="G1" s="623"/>
      <c r="H1" s="175"/>
    </row>
    <row r="2" spans="2:16" ht="27" thickBot="1" x14ac:dyDescent="0.35">
      <c r="B2" s="34" t="s">
        <v>235</v>
      </c>
      <c r="C2" s="6"/>
    </row>
    <row r="3" spans="2:16" ht="18" customHeight="1" x14ac:dyDescent="0.2">
      <c r="B3" s="74"/>
      <c r="C3" s="74"/>
      <c r="D3" s="74"/>
      <c r="E3" s="74"/>
      <c r="F3" s="74"/>
      <c r="G3" s="74"/>
      <c r="H3" s="74"/>
      <c r="I3" s="74"/>
      <c r="J3" s="74"/>
      <c r="K3" s="74"/>
      <c r="L3" s="74"/>
      <c r="M3" s="74"/>
      <c r="N3" s="74"/>
      <c r="O3" s="36"/>
      <c r="P3" s="36"/>
    </row>
    <row r="4" spans="2:16" ht="18" customHeight="1" x14ac:dyDescent="0.2">
      <c r="B4" s="74"/>
      <c r="C4" s="74"/>
      <c r="D4" s="74"/>
      <c r="E4" s="74"/>
      <c r="F4" s="74"/>
      <c r="G4" s="74"/>
      <c r="H4" s="74"/>
      <c r="I4" s="74"/>
      <c r="J4" s="74"/>
      <c r="K4" s="74"/>
      <c r="L4" s="74"/>
      <c r="M4" s="74"/>
      <c r="N4" s="74"/>
      <c r="O4" s="36"/>
      <c r="P4" s="36"/>
    </row>
    <row r="5" spans="2:16" ht="18" customHeight="1" x14ac:dyDescent="0.2">
      <c r="B5" s="74"/>
      <c r="C5" s="74"/>
      <c r="D5" s="74"/>
      <c r="E5" s="74"/>
      <c r="F5" s="74"/>
      <c r="G5" s="74"/>
      <c r="H5" s="74"/>
      <c r="I5" s="74"/>
      <c r="J5" s="74"/>
      <c r="K5" s="74"/>
      <c r="L5" s="74"/>
      <c r="M5" s="74"/>
      <c r="N5" s="74"/>
      <c r="O5" s="36"/>
      <c r="P5" s="36"/>
    </row>
    <row r="6" spans="2:16" ht="18" customHeight="1" thickBot="1" x14ac:dyDescent="0.25">
      <c r="B6" s="74"/>
      <c r="C6" s="74"/>
      <c r="D6" s="74"/>
      <c r="E6" s="74"/>
      <c r="F6" s="74"/>
      <c r="G6" s="74"/>
      <c r="H6" s="74"/>
      <c r="I6" s="74"/>
      <c r="J6" s="74"/>
      <c r="K6" s="74"/>
      <c r="L6" s="74"/>
      <c r="M6" s="74"/>
      <c r="N6" s="74"/>
      <c r="O6" s="36"/>
      <c r="P6" s="36"/>
    </row>
    <row r="7" spans="2:16" ht="18" customHeight="1" x14ac:dyDescent="0.2">
      <c r="B7" s="263" t="s">
        <v>415</v>
      </c>
      <c r="C7" s="497">
        <v>0</v>
      </c>
      <c r="D7" s="264" t="s">
        <v>413</v>
      </c>
      <c r="E7" s="74"/>
      <c r="F7" s="74"/>
      <c r="G7" s="626" t="s">
        <v>417</v>
      </c>
      <c r="H7" s="627"/>
      <c r="I7" s="74"/>
      <c r="J7" s="74"/>
      <c r="K7" s="74"/>
      <c r="L7" s="74"/>
      <c r="M7" s="74"/>
      <c r="N7" s="74"/>
      <c r="O7" s="36"/>
      <c r="P7" s="36"/>
    </row>
    <row r="8" spans="2:16" ht="18" customHeight="1" x14ac:dyDescent="0.2">
      <c r="B8" s="586" t="s">
        <v>416</v>
      </c>
      <c r="C8" s="498">
        <v>0</v>
      </c>
      <c r="D8" s="587" t="str">
        <f>'Project Income'!D6</f>
        <v>stem, bouquet, lbs, bucket, jar</v>
      </c>
      <c r="G8" s="109" t="s">
        <v>418</v>
      </c>
      <c r="H8" s="151" t="s">
        <v>419</v>
      </c>
      <c r="J8" s="11"/>
    </row>
    <row r="9" spans="2:16" ht="18" customHeight="1" x14ac:dyDescent="0.2">
      <c r="B9" s="154" t="s">
        <v>232</v>
      </c>
      <c r="C9" s="498">
        <v>0</v>
      </c>
      <c r="D9" s="155" t="s">
        <v>103</v>
      </c>
      <c r="G9" s="109" t="s">
        <v>420</v>
      </c>
      <c r="H9" s="151" t="s">
        <v>421</v>
      </c>
    </row>
    <row r="10" spans="2:16" ht="18" customHeight="1" x14ac:dyDescent="0.25">
      <c r="B10" s="19" t="s">
        <v>414</v>
      </c>
      <c r="C10" s="499">
        <v>0</v>
      </c>
      <c r="D10" s="14" t="s">
        <v>103</v>
      </c>
      <c r="E10" s="20"/>
      <c r="G10" s="109" t="s">
        <v>422</v>
      </c>
      <c r="H10" s="151" t="s">
        <v>423</v>
      </c>
    </row>
    <row r="11" spans="2:16" ht="18" customHeight="1" x14ac:dyDescent="0.2">
      <c r="B11" s="19" t="s">
        <v>233</v>
      </c>
      <c r="C11" s="584">
        <v>0</v>
      </c>
      <c r="D11" s="15" t="s">
        <v>4</v>
      </c>
      <c r="G11" s="109" t="s">
        <v>424</v>
      </c>
      <c r="H11" s="151" t="s">
        <v>419</v>
      </c>
    </row>
    <row r="12" spans="2:16" ht="18" customHeight="1" x14ac:dyDescent="0.2">
      <c r="B12" s="19" t="s">
        <v>234</v>
      </c>
      <c r="C12" s="593">
        <f>IFERROR(C9*C10*144/(C7*C7)*C8,0)</f>
        <v>0</v>
      </c>
      <c r="D12" s="33" t="str">
        <f>'Project Income'!D6</f>
        <v>stem, bouquet, lbs, bucket, jar</v>
      </c>
      <c r="G12" s="109" t="s">
        <v>425</v>
      </c>
      <c r="H12" s="151" t="s">
        <v>426</v>
      </c>
    </row>
    <row r="13" spans="2:16" ht="18" customHeight="1" thickBot="1" x14ac:dyDescent="0.25">
      <c r="B13" s="153" t="s">
        <v>207</v>
      </c>
      <c r="C13" s="500">
        <f>C11*C12</f>
        <v>0</v>
      </c>
      <c r="D13" s="156" t="str">
        <f>'Project Income'!D6</f>
        <v>stem, bouquet, lbs, bucket, jar</v>
      </c>
      <c r="G13" s="109" t="s">
        <v>427</v>
      </c>
      <c r="H13" s="151" t="s">
        <v>428</v>
      </c>
    </row>
    <row r="14" spans="2:16" ht="18" customHeight="1" x14ac:dyDescent="0.2">
      <c r="B14" s="157" t="s">
        <v>312</v>
      </c>
      <c r="D14" s="2"/>
      <c r="G14" s="109" t="s">
        <v>429</v>
      </c>
      <c r="H14" s="151" t="s">
        <v>426</v>
      </c>
    </row>
    <row r="15" spans="2:16" ht="18" customHeight="1" x14ac:dyDescent="0.2">
      <c r="G15" s="109" t="s">
        <v>430</v>
      </c>
      <c r="H15" s="151" t="s">
        <v>431</v>
      </c>
    </row>
    <row r="16" spans="2:16" ht="18" customHeight="1" x14ac:dyDescent="0.2">
      <c r="G16" s="109" t="s">
        <v>432</v>
      </c>
      <c r="H16" s="151" t="s">
        <v>421</v>
      </c>
    </row>
    <row r="17" spans="7:8" ht="18" customHeight="1" x14ac:dyDescent="0.2">
      <c r="G17" s="109" t="s">
        <v>433</v>
      </c>
      <c r="H17" s="151" t="s">
        <v>434</v>
      </c>
    </row>
    <row r="18" spans="7:8" ht="18" customHeight="1" x14ac:dyDescent="0.2">
      <c r="G18" s="109" t="s">
        <v>435</v>
      </c>
      <c r="H18" s="151" t="s">
        <v>436</v>
      </c>
    </row>
    <row r="19" spans="7:8" ht="19" thickBot="1" x14ac:dyDescent="0.25">
      <c r="G19" s="588" t="s">
        <v>437</v>
      </c>
      <c r="H19" s="165" t="s">
        <v>419</v>
      </c>
    </row>
    <row r="20" spans="7:8" ht="18" x14ac:dyDescent="0.2">
      <c r="G20" s="78"/>
      <c r="H20" s="78"/>
    </row>
    <row r="21" spans="7:8" ht="18" x14ac:dyDescent="0.2">
      <c r="G21" s="78"/>
      <c r="H21" s="78"/>
    </row>
    <row r="22" spans="7:8" ht="18" x14ac:dyDescent="0.2">
      <c r="G22" s="78"/>
      <c r="H22" s="78"/>
    </row>
    <row r="23" spans="7:8" ht="18" x14ac:dyDescent="0.2">
      <c r="G23" s="78"/>
      <c r="H23" s="78"/>
    </row>
    <row r="24" spans="7:8" ht="18" x14ac:dyDescent="0.2">
      <c r="G24" s="78"/>
      <c r="H24" s="78"/>
    </row>
    <row r="25" spans="7:8" ht="18" x14ac:dyDescent="0.2">
      <c r="G25" s="78"/>
      <c r="H25" s="78"/>
    </row>
    <row r="26" spans="7:8" ht="18" x14ac:dyDescent="0.2">
      <c r="G26" s="78"/>
      <c r="H26" s="78"/>
    </row>
    <row r="27" spans="7:8" ht="18" x14ac:dyDescent="0.2">
      <c r="G27" s="78"/>
      <c r="H27" s="78"/>
    </row>
    <row r="28" spans="7:8" ht="18" x14ac:dyDescent="0.2">
      <c r="G28" s="78"/>
      <c r="H28" s="78"/>
    </row>
  </sheetData>
  <sheetProtection selectLockedCells="1"/>
  <mergeCells count="2">
    <mergeCell ref="D1:G1"/>
    <mergeCell ref="G7:H7"/>
  </mergeCells>
  <phoneticPr fontId="38" type="noConversion"/>
  <pageMargins left="0.7" right="0.7" top="0.75" bottom="0.75" header="0.3" footer="0.3"/>
  <pageSetup scale="4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C00000"/>
    <pageSetUpPr fitToPage="1"/>
  </sheetPr>
  <dimension ref="B1:K73"/>
  <sheetViews>
    <sheetView showGridLines="0" workbookViewId="0">
      <pane ySplit="2" topLeftCell="A39" activePane="bottomLeft" state="frozen"/>
      <selection pane="bottomLeft" activeCell="D55" sqref="D55"/>
    </sheetView>
  </sheetViews>
  <sheetFormatPr baseColWidth="10" defaultColWidth="8.83203125" defaultRowHeight="15" x14ac:dyDescent="0.2"/>
  <cols>
    <col min="1" max="1" width="3.33203125" customWidth="1"/>
    <col min="2" max="2" width="46.5" customWidth="1"/>
    <col min="3" max="5" width="20" customWidth="1"/>
    <col min="6" max="6" width="22.1640625" customWidth="1"/>
    <col min="7" max="7" width="15" customWidth="1"/>
    <col min="8" max="8" width="16.1640625" customWidth="1"/>
  </cols>
  <sheetData>
    <row r="1" spans="2:10" ht="27" thickBot="1" x14ac:dyDescent="0.35">
      <c r="B1" s="650" t="str">
        <f>"Crop Planning for "&amp;'Cut Flower 1'!$F$9</f>
        <v>Crop Planning for write crop name here</v>
      </c>
      <c r="C1" s="650"/>
      <c r="D1" s="652" t="s">
        <v>141</v>
      </c>
      <c r="E1" s="653"/>
      <c r="F1" s="654"/>
      <c r="G1" s="71"/>
    </row>
    <row r="2" spans="2:10" ht="27" thickBot="1" x14ac:dyDescent="0.35">
      <c r="B2" s="35" t="s">
        <v>237</v>
      </c>
    </row>
    <row r="3" spans="2:10" ht="18" customHeight="1" x14ac:dyDescent="0.2">
      <c r="B3" s="651"/>
      <c r="C3" s="651"/>
      <c r="D3" s="651"/>
      <c r="E3" s="651"/>
      <c r="F3" s="651"/>
      <c r="G3" s="651"/>
      <c r="H3" s="68"/>
      <c r="I3" s="68"/>
      <c r="J3" s="68"/>
    </row>
    <row r="4" spans="2:10" ht="18" customHeight="1" x14ac:dyDescent="0.2">
      <c r="B4" s="651"/>
      <c r="C4" s="651"/>
      <c r="D4" s="651"/>
      <c r="E4" s="651"/>
      <c r="F4" s="651"/>
      <c r="G4" s="651"/>
      <c r="H4" s="68"/>
      <c r="I4" s="68"/>
      <c r="J4" s="68"/>
    </row>
    <row r="5" spans="2:10" ht="18" customHeight="1" x14ac:dyDescent="0.2">
      <c r="B5" s="651"/>
      <c r="C5" s="651"/>
      <c r="D5" s="651"/>
      <c r="E5" s="651"/>
      <c r="F5" s="651"/>
      <c r="G5" s="651"/>
      <c r="H5" s="68"/>
      <c r="I5" s="68"/>
      <c r="J5" s="68"/>
    </row>
    <row r="6" spans="2:10" ht="18" customHeight="1" x14ac:dyDescent="0.2">
      <c r="B6" s="651"/>
      <c r="C6" s="651"/>
      <c r="D6" s="651"/>
      <c r="E6" s="651"/>
      <c r="F6" s="651"/>
      <c r="G6" s="651"/>
      <c r="H6" s="68"/>
      <c r="I6" s="68"/>
      <c r="J6" s="68"/>
    </row>
    <row r="7" spans="2:10" ht="18" customHeight="1" x14ac:dyDescent="0.2">
      <c r="B7" s="651"/>
      <c r="C7" s="651"/>
      <c r="D7" s="651"/>
      <c r="E7" s="651"/>
      <c r="F7" s="651"/>
      <c r="G7" s="651"/>
      <c r="H7" s="68"/>
      <c r="I7" s="68"/>
      <c r="J7" s="68"/>
    </row>
    <row r="8" spans="2:10" ht="18" customHeight="1" x14ac:dyDescent="0.2">
      <c r="B8" s="651"/>
      <c r="C8" s="651"/>
      <c r="D8" s="651"/>
      <c r="E8" s="651"/>
      <c r="F8" s="651"/>
      <c r="G8" s="651"/>
      <c r="H8" s="68"/>
      <c r="I8" s="68"/>
      <c r="J8" s="68"/>
    </row>
    <row r="9" spans="2:10" ht="18" customHeight="1" thickBot="1" x14ac:dyDescent="0.25">
      <c r="B9" s="651"/>
      <c r="C9" s="651"/>
      <c r="D9" s="651"/>
      <c r="E9" s="651"/>
      <c r="F9" s="651"/>
      <c r="G9" s="651"/>
      <c r="H9" s="68"/>
      <c r="I9" s="68"/>
      <c r="J9" s="68"/>
    </row>
    <row r="10" spans="2:10" ht="18" customHeight="1" x14ac:dyDescent="0.2">
      <c r="B10" s="631" t="s">
        <v>27</v>
      </c>
      <c r="C10" s="633" t="s">
        <v>222</v>
      </c>
      <c r="D10" s="633"/>
      <c r="E10" s="634" t="s">
        <v>1</v>
      </c>
      <c r="F10" s="636" t="s">
        <v>221</v>
      </c>
    </row>
    <row r="11" spans="2:10" ht="18" customHeight="1" x14ac:dyDescent="0.2">
      <c r="B11" s="655"/>
      <c r="C11" s="252" t="s">
        <v>76</v>
      </c>
      <c r="D11" s="266" t="s">
        <v>77</v>
      </c>
      <c r="E11" s="656"/>
      <c r="F11" s="649"/>
    </row>
    <row r="12" spans="2:10" ht="18" customHeight="1" x14ac:dyDescent="0.2">
      <c r="B12" s="125" t="s">
        <v>20</v>
      </c>
      <c r="C12" s="501">
        <v>0</v>
      </c>
      <c r="D12" s="501">
        <v>0</v>
      </c>
      <c r="E12" s="116" t="s">
        <v>160</v>
      </c>
      <c r="F12" s="126"/>
    </row>
    <row r="13" spans="2:10" ht="18" customHeight="1" x14ac:dyDescent="0.2">
      <c r="B13" s="127" t="s">
        <v>97</v>
      </c>
      <c r="C13" s="502">
        <v>0</v>
      </c>
      <c r="D13" s="502">
        <v>0</v>
      </c>
      <c r="E13" s="117" t="s">
        <v>160</v>
      </c>
      <c r="F13" s="126"/>
    </row>
    <row r="14" spans="2:10" ht="18" customHeight="1" x14ac:dyDescent="0.2">
      <c r="B14" s="127" t="s">
        <v>98</v>
      </c>
      <c r="C14" s="502">
        <v>0</v>
      </c>
      <c r="D14" s="502">
        <v>0</v>
      </c>
      <c r="E14" s="117" t="s">
        <v>160</v>
      </c>
      <c r="F14" s="126"/>
    </row>
    <row r="15" spans="2:10" ht="18" customHeight="1" x14ac:dyDescent="0.2">
      <c r="B15" s="127" t="s">
        <v>99</v>
      </c>
      <c r="C15" s="502">
        <v>0</v>
      </c>
      <c r="D15" s="502">
        <v>0</v>
      </c>
      <c r="E15" s="117" t="s">
        <v>160</v>
      </c>
      <c r="F15" s="126"/>
    </row>
    <row r="16" spans="2:10" ht="18" customHeight="1" x14ac:dyDescent="0.2">
      <c r="B16" s="127" t="s">
        <v>21</v>
      </c>
      <c r="C16" s="502">
        <v>0</v>
      </c>
      <c r="D16" s="502">
        <v>0</v>
      </c>
      <c r="E16" s="117" t="s">
        <v>160</v>
      </c>
      <c r="F16" s="126"/>
    </row>
    <row r="17" spans="2:8" ht="18" customHeight="1" x14ac:dyDescent="0.2">
      <c r="B17" s="127" t="s">
        <v>22</v>
      </c>
      <c r="C17" s="502">
        <v>0</v>
      </c>
      <c r="D17" s="502">
        <v>0</v>
      </c>
      <c r="E17" s="117" t="s">
        <v>160</v>
      </c>
      <c r="F17" s="126"/>
    </row>
    <row r="18" spans="2:8" ht="18" customHeight="1" x14ac:dyDescent="0.2">
      <c r="B18" s="128" t="s">
        <v>147</v>
      </c>
      <c r="C18" s="503">
        <v>0</v>
      </c>
      <c r="D18" s="503">
        <v>0</v>
      </c>
      <c r="E18" s="117" t="s">
        <v>160</v>
      </c>
      <c r="F18" s="126"/>
    </row>
    <row r="19" spans="2:8" ht="18" customHeight="1" x14ac:dyDescent="0.2">
      <c r="B19" s="109" t="s">
        <v>177</v>
      </c>
      <c r="C19" s="502">
        <v>0</v>
      </c>
      <c r="D19" s="502">
        <v>0</v>
      </c>
      <c r="E19" s="117" t="s">
        <v>160</v>
      </c>
      <c r="F19" s="126"/>
    </row>
    <row r="20" spans="2:8" ht="18" customHeight="1" x14ac:dyDescent="0.2">
      <c r="B20" s="92" t="s">
        <v>23</v>
      </c>
      <c r="C20" s="502">
        <v>0</v>
      </c>
      <c r="D20" s="502">
        <v>0</v>
      </c>
      <c r="E20" s="117" t="s">
        <v>160</v>
      </c>
      <c r="F20" s="126"/>
    </row>
    <row r="21" spans="2:8" ht="18" customHeight="1" x14ac:dyDescent="0.2">
      <c r="B21" s="127" t="s">
        <v>120</v>
      </c>
      <c r="C21" s="502">
        <v>0</v>
      </c>
      <c r="D21" s="502">
        <v>0</v>
      </c>
      <c r="E21" s="117" t="s">
        <v>160</v>
      </c>
      <c r="F21" s="126"/>
      <c r="H21" s="150"/>
    </row>
    <row r="22" spans="2:8" ht="18" customHeight="1" thickBot="1" x14ac:dyDescent="0.25">
      <c r="B22" s="272" t="s">
        <v>262</v>
      </c>
      <c r="C22" s="504">
        <f>SUM(C12:C21)/60</f>
        <v>0</v>
      </c>
      <c r="D22" s="504">
        <f>SUM(D12:D21)/60</f>
        <v>0</v>
      </c>
      <c r="E22" s="273" t="s">
        <v>161</v>
      </c>
      <c r="F22" s="512">
        <f>(C22*E62)+(D22*E63)</f>
        <v>0</v>
      </c>
    </row>
    <row r="23" spans="2:8" ht="18" customHeight="1" x14ac:dyDescent="0.2">
      <c r="B23" s="646" t="s">
        <v>227</v>
      </c>
      <c r="C23" s="641" t="s">
        <v>222</v>
      </c>
      <c r="D23" s="641"/>
      <c r="E23" s="648" t="s">
        <v>1</v>
      </c>
      <c r="F23" s="637" t="s">
        <v>100</v>
      </c>
    </row>
    <row r="24" spans="2:8" ht="18" customHeight="1" x14ac:dyDescent="0.2">
      <c r="B24" s="647"/>
      <c r="C24" s="252" t="s">
        <v>76</v>
      </c>
      <c r="D24" s="266" t="s">
        <v>77</v>
      </c>
      <c r="E24" s="642"/>
      <c r="F24" s="649"/>
    </row>
    <row r="25" spans="2:8" ht="18" customHeight="1" x14ac:dyDescent="0.2">
      <c r="B25" s="129" t="s">
        <v>226</v>
      </c>
      <c r="C25" s="501">
        <v>0</v>
      </c>
      <c r="D25" s="501">
        <v>0</v>
      </c>
      <c r="E25" s="116" t="s">
        <v>161</v>
      </c>
      <c r="F25" s="130"/>
    </row>
    <row r="26" spans="2:8" ht="18" customHeight="1" x14ac:dyDescent="0.2">
      <c r="B26" s="131" t="s">
        <v>228</v>
      </c>
      <c r="C26" s="502">
        <v>0</v>
      </c>
      <c r="D26" s="502">
        <v>0</v>
      </c>
      <c r="E26" s="117" t="s">
        <v>161</v>
      </c>
      <c r="F26" s="130"/>
    </row>
    <row r="27" spans="2:8" ht="18" customHeight="1" x14ac:dyDescent="0.2">
      <c r="B27" s="131" t="s">
        <v>238</v>
      </c>
      <c r="C27" s="502">
        <v>0</v>
      </c>
      <c r="D27" s="502">
        <v>0</v>
      </c>
      <c r="E27" s="117" t="s">
        <v>161</v>
      </c>
      <c r="F27" s="130"/>
    </row>
    <row r="28" spans="2:8" ht="18" customHeight="1" x14ac:dyDescent="0.2">
      <c r="B28" s="131" t="s">
        <v>229</v>
      </c>
      <c r="C28" s="502">
        <v>0</v>
      </c>
      <c r="D28" s="502">
        <v>0</v>
      </c>
      <c r="E28" s="117" t="s">
        <v>161</v>
      </c>
      <c r="F28" s="130"/>
    </row>
    <row r="29" spans="2:8" ht="18" customHeight="1" x14ac:dyDescent="0.2">
      <c r="B29" s="131" t="s">
        <v>230</v>
      </c>
      <c r="C29" s="502">
        <v>0</v>
      </c>
      <c r="D29" s="502">
        <v>0</v>
      </c>
      <c r="E29" s="117" t="s">
        <v>161</v>
      </c>
      <c r="F29" s="130"/>
    </row>
    <row r="30" spans="2:8" ht="18" customHeight="1" x14ac:dyDescent="0.2">
      <c r="B30" s="131" t="s">
        <v>231</v>
      </c>
      <c r="C30" s="502">
        <v>0</v>
      </c>
      <c r="D30" s="502">
        <v>0</v>
      </c>
      <c r="E30" s="117" t="s">
        <v>161</v>
      </c>
      <c r="F30" s="130"/>
    </row>
    <row r="31" spans="2:8" ht="18" customHeight="1" x14ac:dyDescent="0.2">
      <c r="B31" s="131" t="s">
        <v>49</v>
      </c>
      <c r="C31" s="502">
        <v>0</v>
      </c>
      <c r="D31" s="502">
        <v>0</v>
      </c>
      <c r="E31" s="117" t="s">
        <v>161</v>
      </c>
      <c r="F31" s="130"/>
    </row>
    <row r="32" spans="2:8" ht="18" customHeight="1" x14ac:dyDescent="0.2">
      <c r="B32" s="131" t="s">
        <v>178</v>
      </c>
      <c r="C32" s="502">
        <v>0</v>
      </c>
      <c r="D32" s="502">
        <v>0</v>
      </c>
      <c r="E32" s="117" t="s">
        <v>161</v>
      </c>
      <c r="F32" s="130"/>
    </row>
    <row r="33" spans="2:11" ht="18" customHeight="1" x14ac:dyDescent="0.2">
      <c r="B33" s="132" t="s">
        <v>17</v>
      </c>
      <c r="C33" s="502">
        <v>0</v>
      </c>
      <c r="D33" s="502">
        <v>0</v>
      </c>
      <c r="E33" s="117" t="s">
        <v>161</v>
      </c>
      <c r="F33" s="130"/>
    </row>
    <row r="34" spans="2:11" ht="18" customHeight="1" x14ac:dyDescent="0.2">
      <c r="B34" s="127" t="s">
        <v>120</v>
      </c>
      <c r="C34" s="502">
        <v>0</v>
      </c>
      <c r="D34" s="502">
        <v>0</v>
      </c>
      <c r="E34" s="117" t="s">
        <v>161</v>
      </c>
      <c r="F34" s="126"/>
    </row>
    <row r="35" spans="2:11" ht="18" customHeight="1" thickBot="1" x14ac:dyDescent="0.25">
      <c r="B35" s="133" t="s">
        <v>262</v>
      </c>
      <c r="C35" s="505">
        <f>SUM(C25:C34)</f>
        <v>0</v>
      </c>
      <c r="D35" s="505">
        <f>SUM(D25:D34)</f>
        <v>0</v>
      </c>
      <c r="E35" s="118" t="s">
        <v>239</v>
      </c>
      <c r="F35" s="513">
        <f>(C35*E62)+(D35*E63)</f>
        <v>0</v>
      </c>
    </row>
    <row r="36" spans="2:11" ht="18" customHeight="1" x14ac:dyDescent="0.2">
      <c r="B36" s="631" t="s">
        <v>220</v>
      </c>
      <c r="C36" s="633" t="s">
        <v>222</v>
      </c>
      <c r="D36" s="633"/>
      <c r="E36" s="634" t="s">
        <v>1</v>
      </c>
      <c r="F36" s="636" t="s">
        <v>100</v>
      </c>
    </row>
    <row r="37" spans="2:11" ht="18" customHeight="1" x14ac:dyDescent="0.2">
      <c r="B37" s="632"/>
      <c r="C37" s="267" t="s">
        <v>76</v>
      </c>
      <c r="D37" s="268" t="s">
        <v>77</v>
      </c>
      <c r="E37" s="635"/>
      <c r="F37" s="637"/>
    </row>
    <row r="38" spans="2:11" ht="18" customHeight="1" x14ac:dyDescent="0.2">
      <c r="B38" s="643" t="str">
        <f>"* Remember: Estimated Crop Yield Per Bed Is "&amp;'Project Yield'!C12&amp;" "&amp;'Project Yield'!D12</f>
        <v>* Remember: Estimated Crop Yield Per Bed Is 0 stem, bouquet, lbs, bucket, jar</v>
      </c>
      <c r="C38" s="644"/>
      <c r="D38" s="644"/>
      <c r="E38" s="644"/>
      <c r="F38" s="645"/>
    </row>
    <row r="39" spans="2:11" ht="18" customHeight="1" x14ac:dyDescent="0.2">
      <c r="B39" s="129" t="s">
        <v>217</v>
      </c>
      <c r="C39" s="506">
        <v>0</v>
      </c>
      <c r="D39" s="506">
        <v>0</v>
      </c>
      <c r="E39" s="119" t="s">
        <v>161</v>
      </c>
      <c r="F39" s="130"/>
    </row>
    <row r="40" spans="2:11" ht="18" customHeight="1" x14ac:dyDescent="0.2">
      <c r="B40" s="131" t="s">
        <v>216</v>
      </c>
      <c r="C40" s="502">
        <v>0</v>
      </c>
      <c r="D40" s="502">
        <v>0</v>
      </c>
      <c r="E40" s="114" t="s">
        <v>161</v>
      </c>
      <c r="F40" s="134"/>
    </row>
    <row r="41" spans="2:11" ht="18" customHeight="1" x14ac:dyDescent="0.2">
      <c r="B41" s="135" t="s">
        <v>218</v>
      </c>
      <c r="C41" s="502">
        <v>0</v>
      </c>
      <c r="D41" s="502">
        <v>0</v>
      </c>
      <c r="E41" s="114" t="s">
        <v>161</v>
      </c>
      <c r="F41" s="134"/>
    </row>
    <row r="42" spans="2:11" ht="18" customHeight="1" x14ac:dyDescent="0.2">
      <c r="B42" s="131" t="s">
        <v>178</v>
      </c>
      <c r="C42" s="507">
        <v>0</v>
      </c>
      <c r="D42" s="507">
        <v>0</v>
      </c>
      <c r="E42" s="120" t="s">
        <v>161</v>
      </c>
      <c r="F42" s="136"/>
    </row>
    <row r="43" spans="2:11" ht="18" customHeight="1" x14ac:dyDescent="0.2">
      <c r="B43" s="132" t="s">
        <v>219</v>
      </c>
      <c r="C43" s="507">
        <v>0</v>
      </c>
      <c r="D43" s="507">
        <v>0</v>
      </c>
      <c r="E43" s="120" t="s">
        <v>161</v>
      </c>
      <c r="F43" s="136"/>
    </row>
    <row r="44" spans="2:11" ht="18" customHeight="1" x14ac:dyDescent="0.2">
      <c r="B44" s="127" t="s">
        <v>120</v>
      </c>
      <c r="C44" s="502">
        <v>0</v>
      </c>
      <c r="D44" s="502">
        <v>0</v>
      </c>
      <c r="E44" s="117" t="s">
        <v>161</v>
      </c>
      <c r="F44" s="126"/>
    </row>
    <row r="45" spans="2:11" s="17" customFormat="1" ht="18" customHeight="1" thickBot="1" x14ac:dyDescent="0.25">
      <c r="B45" s="274" t="s">
        <v>262</v>
      </c>
      <c r="C45" s="508">
        <f>SUM(C39:C44)</f>
        <v>0</v>
      </c>
      <c r="D45" s="508">
        <f>SUM(D39:D44)</f>
        <v>0</v>
      </c>
      <c r="E45" s="275" t="s">
        <v>161</v>
      </c>
      <c r="F45" s="514">
        <f>(C45*E62)+(D45*E63)</f>
        <v>0</v>
      </c>
      <c r="G45" s="18"/>
      <c r="H45" s="26"/>
      <c r="I45" s="24"/>
      <c r="J45" s="25"/>
      <c r="K45" s="44"/>
    </row>
    <row r="46" spans="2:11" ht="18" customHeight="1" x14ac:dyDescent="0.2">
      <c r="B46" s="640" t="s">
        <v>240</v>
      </c>
      <c r="C46" s="641" t="s">
        <v>222</v>
      </c>
      <c r="D46" s="641"/>
      <c r="E46" s="642" t="s">
        <v>1</v>
      </c>
      <c r="F46" s="637" t="s">
        <v>100</v>
      </c>
    </row>
    <row r="47" spans="2:11" ht="18" customHeight="1" x14ac:dyDescent="0.2">
      <c r="B47" s="632"/>
      <c r="C47" s="267" t="s">
        <v>76</v>
      </c>
      <c r="D47" s="268" t="s">
        <v>77</v>
      </c>
      <c r="E47" s="635"/>
      <c r="F47" s="637"/>
    </row>
    <row r="48" spans="2:11" ht="18" customHeight="1" x14ac:dyDescent="0.2">
      <c r="B48" s="643" t="str">
        <f>"* Remember: Estimated Crop Yield Per Bed Is "&amp;'Project Yield'!C12&amp;" "&amp;'Project Yield'!D12</f>
        <v>* Remember: Estimated Crop Yield Per Bed Is 0 stem, bouquet, lbs, bucket, jar</v>
      </c>
      <c r="C48" s="644"/>
      <c r="D48" s="644"/>
      <c r="E48" s="644"/>
      <c r="F48" s="645"/>
    </row>
    <row r="49" spans="2:11" ht="18" customHeight="1" x14ac:dyDescent="0.2">
      <c r="B49" s="160" t="s">
        <v>199</v>
      </c>
      <c r="C49" s="506">
        <v>0</v>
      </c>
      <c r="D49" s="506">
        <v>0</v>
      </c>
      <c r="E49" s="119" t="s">
        <v>161</v>
      </c>
      <c r="F49" s="130"/>
    </row>
    <row r="50" spans="2:11" ht="18" customHeight="1" x14ac:dyDescent="0.2">
      <c r="B50" s="160" t="s">
        <v>199</v>
      </c>
      <c r="C50" s="502">
        <v>0</v>
      </c>
      <c r="D50" s="502">
        <v>0</v>
      </c>
      <c r="E50" s="114" t="s">
        <v>161</v>
      </c>
      <c r="F50" s="134"/>
    </row>
    <row r="51" spans="2:11" ht="18" customHeight="1" x14ac:dyDescent="0.2">
      <c r="B51" s="160" t="s">
        <v>199</v>
      </c>
      <c r="C51" s="502">
        <v>0</v>
      </c>
      <c r="D51" s="502">
        <v>0</v>
      </c>
      <c r="E51" s="114" t="s">
        <v>161</v>
      </c>
      <c r="F51" s="134"/>
    </row>
    <row r="52" spans="2:11" s="17" customFormat="1" ht="18" customHeight="1" thickBot="1" x14ac:dyDescent="0.25">
      <c r="B52" s="137" t="s">
        <v>262</v>
      </c>
      <c r="C52" s="509">
        <f>SUM(C49:C51)</f>
        <v>0</v>
      </c>
      <c r="D52" s="509">
        <f>SUM(D49:D51)</f>
        <v>0</v>
      </c>
      <c r="E52" s="121" t="s">
        <v>161</v>
      </c>
      <c r="F52" s="515">
        <f>(C52*E72)+(D52*E73)</f>
        <v>0</v>
      </c>
      <c r="G52" s="18"/>
      <c r="H52" s="26"/>
      <c r="I52" s="24"/>
      <c r="J52" s="25"/>
      <c r="K52" s="44"/>
    </row>
    <row r="53" spans="2:11" s="11" customFormat="1" ht="18" customHeight="1" x14ac:dyDescent="0.2">
      <c r="B53" s="276" t="s">
        <v>314</v>
      </c>
      <c r="C53" s="277" t="s">
        <v>76</v>
      </c>
      <c r="D53" s="277" t="s">
        <v>77</v>
      </c>
      <c r="E53" s="278" t="s">
        <v>223</v>
      </c>
      <c r="F53" s="279"/>
    </row>
    <row r="54" spans="2:11" s="11" customFormat="1" ht="18" customHeight="1" x14ac:dyDescent="0.2">
      <c r="B54" s="270" t="s">
        <v>90</v>
      </c>
      <c r="C54" s="510">
        <f>SUM(C22,C35,C45,C52)</f>
        <v>0</v>
      </c>
      <c r="D54" s="510">
        <f>SUM(D22,D35,D45,D52)</f>
        <v>0</v>
      </c>
      <c r="E54" s="119" t="s">
        <v>161</v>
      </c>
      <c r="F54" s="136"/>
      <c r="H54" s="21"/>
      <c r="I54" s="21"/>
    </row>
    <row r="55" spans="2:11" s="11" customFormat="1" ht="18" customHeight="1" thickBot="1" x14ac:dyDescent="0.25">
      <c r="B55" s="271" t="s">
        <v>225</v>
      </c>
      <c r="C55" s="511">
        <f>C54*'Project Yield'!C11</f>
        <v>0</v>
      </c>
      <c r="D55" s="511">
        <f>D54*'Project Yield'!C11</f>
        <v>0</v>
      </c>
      <c r="E55" s="138" t="s">
        <v>161</v>
      </c>
      <c r="F55" s="139"/>
      <c r="H55" s="21"/>
      <c r="I55" s="21"/>
    </row>
    <row r="56" spans="2:11" s="11" customFormat="1" ht="18" customHeight="1" x14ac:dyDescent="0.2">
      <c r="B56" s="269"/>
      <c r="C56" s="98"/>
      <c r="D56" s="98"/>
      <c r="E56" s="140"/>
      <c r="F56" s="123"/>
      <c r="H56" s="21"/>
      <c r="I56" s="21"/>
    </row>
    <row r="57" spans="2:11" s="11" customFormat="1" ht="18" customHeight="1" x14ac:dyDescent="0.2">
      <c r="B57" s="78"/>
      <c r="C57" s="78"/>
      <c r="D57" s="638" t="s">
        <v>313</v>
      </c>
      <c r="E57" s="638"/>
      <c r="F57" s="353">
        <f>SUM(F22,F35,F45,F52)</f>
        <v>0</v>
      </c>
      <c r="H57" s="21"/>
      <c r="I57" s="21"/>
    </row>
    <row r="58" spans="2:11" s="11" customFormat="1" ht="18" customHeight="1" x14ac:dyDescent="0.2">
      <c r="B58" s="78"/>
      <c r="C58" s="78"/>
      <c r="D58" s="638" t="s">
        <v>224</v>
      </c>
      <c r="E58" s="638"/>
      <c r="F58" s="353">
        <f>F57*'Project Yield'!C11</f>
        <v>0</v>
      </c>
      <c r="H58" s="21"/>
      <c r="I58" s="21"/>
    </row>
    <row r="59" spans="2:11" s="11" customFormat="1" ht="18" customHeight="1" x14ac:dyDescent="0.2">
      <c r="B59" s="78"/>
      <c r="C59" s="78"/>
      <c r="D59" s="146"/>
      <c r="E59" s="146"/>
      <c r="F59" s="90"/>
      <c r="H59" s="21"/>
      <c r="I59" s="21"/>
    </row>
    <row r="60" spans="2:11" s="11" customFormat="1" ht="18" customHeight="1" thickBot="1" x14ac:dyDescent="0.25">
      <c r="B60" s="78"/>
      <c r="C60" s="78"/>
      <c r="D60" s="639"/>
      <c r="E60" s="639"/>
      <c r="F60" s="122"/>
      <c r="H60" s="21"/>
      <c r="I60" s="21"/>
    </row>
    <row r="61" spans="2:11" s="11" customFormat="1" ht="18" customHeight="1" thickBot="1" x14ac:dyDescent="0.25">
      <c r="B61" s="78"/>
      <c r="C61" s="628" t="s">
        <v>162</v>
      </c>
      <c r="D61" s="629"/>
      <c r="E61" s="630"/>
      <c r="F61" s="123"/>
      <c r="H61" s="21"/>
      <c r="I61" s="21"/>
    </row>
    <row r="62" spans="2:11" s="11" customFormat="1" ht="18" customHeight="1" x14ac:dyDescent="0.25">
      <c r="B62" s="124"/>
      <c r="C62" s="280"/>
      <c r="D62" s="281" t="s">
        <v>146</v>
      </c>
      <c r="E62" s="516">
        <f>' Labor Overheads'!C31</f>
        <v>0</v>
      </c>
      <c r="F62" s="123"/>
      <c r="H62" s="21"/>
      <c r="I62" s="21"/>
      <c r="J62" s="51"/>
      <c r="K62" s="32"/>
    </row>
    <row r="63" spans="2:11" s="11" customFormat="1" ht="18" customHeight="1" x14ac:dyDescent="0.25">
      <c r="B63" s="124"/>
      <c r="C63" s="280"/>
      <c r="D63" s="281" t="s">
        <v>149</v>
      </c>
      <c r="E63" s="516">
        <f>' Labor Overheads'!C15</f>
        <v>0</v>
      </c>
      <c r="F63" s="78"/>
      <c r="I63" s="21"/>
      <c r="J63" s="51"/>
      <c r="K63" s="32"/>
    </row>
    <row r="64" spans="2:11" s="11" customFormat="1" ht="18" customHeight="1" x14ac:dyDescent="0.25">
      <c r="B64" s="124"/>
      <c r="C64" s="280"/>
      <c r="D64" s="282" t="s">
        <v>163</v>
      </c>
      <c r="E64" s="517">
        <f>C55*E62</f>
        <v>0</v>
      </c>
      <c r="F64" s="78"/>
      <c r="I64" s="21"/>
      <c r="J64" s="51"/>
      <c r="K64" s="32"/>
    </row>
    <row r="65" spans="2:11" s="11" customFormat="1" ht="18" customHeight="1" thickBot="1" x14ac:dyDescent="0.3">
      <c r="B65" s="124"/>
      <c r="C65" s="283"/>
      <c r="D65" s="284" t="s">
        <v>164</v>
      </c>
      <c r="E65" s="518">
        <f>D55*E63</f>
        <v>0</v>
      </c>
      <c r="F65" s="78"/>
      <c r="I65" s="21"/>
      <c r="J65" s="51"/>
      <c r="K65" s="32"/>
    </row>
    <row r="66" spans="2:11" s="11" customFormat="1" ht="18" customHeight="1" x14ac:dyDescent="0.25">
      <c r="B66" s="43"/>
      <c r="C66" s="69"/>
      <c r="D66" s="69"/>
      <c r="E66" s="70"/>
      <c r="H66" s="21"/>
      <c r="I66" s="21"/>
      <c r="J66" s="51"/>
      <c r="K66" s="32"/>
    </row>
    <row r="67" spans="2:11" ht="18" customHeight="1" x14ac:dyDescent="0.2"/>
    <row r="68" spans="2:11" ht="18" customHeight="1" x14ac:dyDescent="0.2"/>
    <row r="69" spans="2:11" ht="18" customHeight="1" x14ac:dyDescent="0.2"/>
    <row r="70" spans="2:11" ht="18" customHeight="1" x14ac:dyDescent="0.2"/>
    <row r="71" spans="2:11" ht="18" customHeight="1" x14ac:dyDescent="0.2"/>
    <row r="72" spans="2:11" ht="18" customHeight="1" x14ac:dyDescent="0.2"/>
    <row r="73" spans="2:11" ht="18" customHeight="1" x14ac:dyDescent="0.2"/>
  </sheetData>
  <sheetProtection selectLockedCells="1"/>
  <mergeCells count="25">
    <mergeCell ref="B1:C1"/>
    <mergeCell ref="B3:G9"/>
    <mergeCell ref="D1:F1"/>
    <mergeCell ref="B10:B11"/>
    <mergeCell ref="C10:D10"/>
    <mergeCell ref="E10:E11"/>
    <mergeCell ref="F10:F11"/>
    <mergeCell ref="B23:B24"/>
    <mergeCell ref="C23:D23"/>
    <mergeCell ref="E23:E24"/>
    <mergeCell ref="F23:F24"/>
    <mergeCell ref="B38:F38"/>
    <mergeCell ref="C61:E61"/>
    <mergeCell ref="B36:B37"/>
    <mergeCell ref="C36:D36"/>
    <mergeCell ref="E36:E37"/>
    <mergeCell ref="F36:F37"/>
    <mergeCell ref="D57:E57"/>
    <mergeCell ref="D58:E58"/>
    <mergeCell ref="D60:E60"/>
    <mergeCell ref="B46:B47"/>
    <mergeCell ref="C46:D46"/>
    <mergeCell ref="E46:E47"/>
    <mergeCell ref="F46:F47"/>
    <mergeCell ref="B48:F48"/>
  </mergeCells>
  <phoneticPr fontId="38" type="noConversion"/>
  <pageMargins left="0.25" right="0.25"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23</vt:i4>
      </vt:variant>
      <vt:variant>
        <vt:lpstr>命名范围</vt:lpstr>
      </vt:variant>
      <vt:variant>
        <vt:i4>2</vt:i4>
      </vt:variant>
    </vt:vector>
  </HeadingPairs>
  <TitlesOfParts>
    <vt:vector size="25" baseType="lpstr">
      <vt:lpstr>Welcome</vt:lpstr>
      <vt:lpstr>Describe Your Farm</vt:lpstr>
      <vt:lpstr> Labor Overheads</vt:lpstr>
      <vt:lpstr>Cash Overheads</vt:lpstr>
      <vt:lpstr>Depreciation Overheads</vt:lpstr>
      <vt:lpstr>Cut Flower 1</vt:lpstr>
      <vt:lpstr>Project Income</vt:lpstr>
      <vt:lpstr>Project Yield</vt:lpstr>
      <vt:lpstr>Direct Labor Cost</vt:lpstr>
      <vt:lpstr>Direct Material Cost</vt:lpstr>
      <vt:lpstr>Cut Flower 1 Assessment</vt:lpstr>
      <vt:lpstr>Cut Flower 2</vt:lpstr>
      <vt:lpstr>Cut Flower 3</vt:lpstr>
      <vt:lpstr>Cut Flower 4</vt:lpstr>
      <vt:lpstr>Cut Flower 5</vt:lpstr>
      <vt:lpstr>Cut Flower 6</vt:lpstr>
      <vt:lpstr>Cut Flower 7</vt:lpstr>
      <vt:lpstr>Cut Flower 8</vt:lpstr>
      <vt:lpstr>Cut Flower 9</vt:lpstr>
      <vt:lpstr>Cut Flower 10</vt:lpstr>
      <vt:lpstr>All Cut Flowers Assessment</vt:lpstr>
      <vt:lpstr>Business Analysis</vt:lpstr>
      <vt:lpstr>Scenarios Tool</vt:lpstr>
      <vt:lpstr>'All Cut Flowers Assessment'!Print_Area</vt:lpstr>
      <vt:lpstr>'Direct Labor 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Darren Xia</cp:lastModifiedBy>
  <cp:lastPrinted>2016-02-24T20:12:14Z</cp:lastPrinted>
  <dcterms:created xsi:type="dcterms:W3CDTF">2012-11-29T19:16:58Z</dcterms:created>
  <dcterms:modified xsi:type="dcterms:W3CDTF">2024-09-04T18:47:26Z</dcterms:modified>
</cp:coreProperties>
</file>